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65" windowWidth="14145" windowHeight="7020"/>
  </bookViews>
  <sheets>
    <sheet name="PLANILHA" sheetId="1" r:id="rId1"/>
    <sheet name="MEMORIA DE CÁLCULO " sheetId="2" r:id="rId2"/>
    <sheet name="COMPOSIÇÕES" sheetId="3" r:id="rId3"/>
    <sheet name="RESUMO" sheetId="4" r:id="rId4"/>
    <sheet name="CRONOGRAMA" sheetId="5" r:id="rId5"/>
  </sheets>
  <definedNames>
    <definedName name="_xlnm.Print_Area" localSheetId="1">'MEMORIA DE CÁLCULO '!$A$1:$J$488</definedName>
    <definedName name="_xlnm.Print_Area" localSheetId="0">PLANILHA!$A$1:$H$64</definedName>
    <definedName name="_xlnm.Print_Titles" localSheetId="1">'MEMORIA DE CÁLCULO '!$1:$9</definedName>
    <definedName name="_xlnm.Print_Titles" localSheetId="0">PLANILHA!$1:$8</definedName>
  </definedNames>
  <calcPr calcId="145621"/>
</workbook>
</file>

<file path=xl/calcChain.xml><?xml version="1.0" encoding="utf-8"?>
<calcChain xmlns="http://schemas.openxmlformats.org/spreadsheetml/2006/main">
  <c r="I284" i="2" l="1"/>
  <c r="I174" i="2"/>
  <c r="I175" i="2"/>
  <c r="I176" i="2"/>
  <c r="I177" i="2"/>
  <c r="I178" i="2"/>
  <c r="I179" i="2"/>
  <c r="I180" i="2"/>
  <c r="I181" i="2"/>
  <c r="I182" i="2"/>
  <c r="I183" i="2"/>
  <c r="I173" i="2"/>
  <c r="I27" i="2" l="1"/>
  <c r="I29" i="2"/>
  <c r="I31" i="2"/>
  <c r="I33" i="2"/>
  <c r="I35" i="2"/>
  <c r="I37" i="2"/>
  <c r="I39" i="2"/>
  <c r="I41" i="2"/>
  <c r="I43" i="2"/>
  <c r="I45" i="2"/>
  <c r="I47" i="2"/>
  <c r="I49" i="2"/>
  <c r="I51" i="2"/>
  <c r="I53" i="2"/>
  <c r="I57" i="2"/>
  <c r="I60" i="2"/>
  <c r="I62" i="2"/>
  <c r="I64" i="2"/>
  <c r="I66" i="2"/>
  <c r="I68" i="2"/>
  <c r="I70" i="2"/>
  <c r="I72" i="2"/>
  <c r="I74" i="2"/>
  <c r="I76" i="2"/>
  <c r="I78" i="2"/>
  <c r="I80" i="2"/>
  <c r="I83" i="2"/>
  <c r="I303" i="2" l="1"/>
  <c r="I289" i="2"/>
  <c r="G392" i="2" l="1"/>
  <c r="G398" i="2"/>
  <c r="D485" i="2"/>
  <c r="D480" i="2"/>
  <c r="D476" i="2"/>
  <c r="D467" i="2"/>
  <c r="I385" i="2" l="1"/>
  <c r="I388" i="2" s="1"/>
  <c r="F41" i="1" s="1"/>
  <c r="H41" i="1" s="1"/>
  <c r="C384" i="2"/>
  <c r="A384" i="2"/>
  <c r="B384" i="2"/>
  <c r="I384" i="2"/>
  <c r="B12" i="4" l="1"/>
  <c r="B25" i="5" s="1"/>
  <c r="A12" i="4"/>
  <c r="A25" i="5" s="1"/>
  <c r="B11" i="4"/>
  <c r="B22" i="5" s="1"/>
  <c r="A11" i="4"/>
  <c r="A22" i="5" s="1"/>
  <c r="B10" i="4"/>
  <c r="B19" i="5" s="1"/>
  <c r="A10" i="4"/>
  <c r="A19" i="5" s="1"/>
  <c r="B9" i="4"/>
  <c r="B16" i="5" s="1"/>
  <c r="A9" i="4"/>
  <c r="A16" i="5" s="1"/>
  <c r="F66" i="3" l="1"/>
  <c r="F68" i="3" s="1"/>
  <c r="F63" i="3"/>
  <c r="F62" i="3"/>
  <c r="A484" i="2"/>
  <c r="B484" i="2"/>
  <c r="A480" i="2"/>
  <c r="B480" i="2"/>
  <c r="A476" i="2"/>
  <c r="B476" i="2"/>
  <c r="A471" i="2"/>
  <c r="B471" i="2"/>
  <c r="A467" i="2"/>
  <c r="B467" i="2"/>
  <c r="A463" i="2"/>
  <c r="B463" i="2"/>
  <c r="A446" i="2"/>
  <c r="B446" i="2"/>
  <c r="A439" i="2"/>
  <c r="B439" i="2"/>
  <c r="A432" i="2"/>
  <c r="B432" i="2"/>
  <c r="A427" i="2"/>
  <c r="B427" i="2"/>
  <c r="F130" i="3"/>
  <c r="F129" i="3"/>
  <c r="F124" i="3"/>
  <c r="F117" i="3"/>
  <c r="F116" i="3"/>
  <c r="F115" i="3"/>
  <c r="F114" i="3"/>
  <c r="F113" i="3"/>
  <c r="F112" i="3"/>
  <c r="F111" i="3"/>
  <c r="F100" i="3"/>
  <c r="F101" i="3" s="1"/>
  <c r="F97" i="3"/>
  <c r="F98" i="3" s="1"/>
  <c r="F94" i="3"/>
  <c r="F93" i="3"/>
  <c r="A423" i="2"/>
  <c r="B423" i="2"/>
  <c r="A419" i="2"/>
  <c r="B419" i="2"/>
  <c r="A415" i="2"/>
  <c r="B415" i="2"/>
  <c r="A410" i="2"/>
  <c r="B410" i="2"/>
  <c r="A406" i="2"/>
  <c r="B406" i="2"/>
  <c r="A401" i="2"/>
  <c r="B401" i="2"/>
  <c r="A397" i="2"/>
  <c r="B397" i="2"/>
  <c r="A391" i="2"/>
  <c r="B391" i="2"/>
  <c r="A378" i="2"/>
  <c r="B378" i="2"/>
  <c r="A374" i="2"/>
  <c r="B374" i="2"/>
  <c r="A368" i="2"/>
  <c r="B368" i="2"/>
  <c r="A362" i="2"/>
  <c r="B362" i="2"/>
  <c r="A340" i="2"/>
  <c r="B340" i="2"/>
  <c r="A334" i="2"/>
  <c r="B334" i="2"/>
  <c r="A327" i="2"/>
  <c r="B327" i="2"/>
  <c r="A320" i="2"/>
  <c r="B320" i="2"/>
  <c r="A315" i="2"/>
  <c r="B315" i="2"/>
  <c r="I316" i="2"/>
  <c r="F82" i="3"/>
  <c r="F81" i="3"/>
  <c r="F79" i="3"/>
  <c r="F51" i="3"/>
  <c r="F50" i="3"/>
  <c r="F47" i="3"/>
  <c r="F48" i="3" s="1"/>
  <c r="F34" i="3"/>
  <c r="F33" i="3"/>
  <c r="F31" i="3"/>
  <c r="F18" i="3"/>
  <c r="F19" i="3" s="1"/>
  <c r="F15" i="3"/>
  <c r="C303" i="2"/>
  <c r="C304" i="2"/>
  <c r="A308" i="2"/>
  <c r="B308" i="2"/>
  <c r="B294" i="2"/>
  <c r="A294" i="2"/>
  <c r="B280" i="2"/>
  <c r="A280" i="2"/>
  <c r="C270" i="2"/>
  <c r="B270" i="2"/>
  <c r="A270" i="2"/>
  <c r="C266" i="2"/>
  <c r="B266" i="2"/>
  <c r="A266" i="2"/>
  <c r="I268" i="2"/>
  <c r="F26" i="1" s="1"/>
  <c r="B260" i="2"/>
  <c r="A260" i="2"/>
  <c r="B254" i="2"/>
  <c r="A254" i="2"/>
  <c r="C254" i="2"/>
  <c r="I256" i="2"/>
  <c r="I258" i="2" s="1"/>
  <c r="F24" i="1" s="1"/>
  <c r="B248" i="2"/>
  <c r="B237" i="2"/>
  <c r="A199" i="2"/>
  <c r="B199" i="2"/>
  <c r="A192" i="2"/>
  <c r="B192" i="2"/>
  <c r="A187" i="2"/>
  <c r="B187" i="2"/>
  <c r="F95" i="3" l="1"/>
  <c r="F102" i="3" s="1"/>
  <c r="F88" i="3" s="1"/>
  <c r="F132" i="3"/>
  <c r="F64" i="3"/>
  <c r="F69" i="3" s="1"/>
  <c r="F57" i="3" s="1"/>
  <c r="F118" i="3"/>
  <c r="F120" i="3" s="1"/>
  <c r="F106" i="3" s="1"/>
  <c r="F20" i="3"/>
  <c r="F9" i="3" s="1"/>
  <c r="F35" i="3"/>
  <c r="F36" i="3" s="1"/>
  <c r="F24" i="3" s="1"/>
  <c r="F83" i="3"/>
  <c r="F73" i="3" s="1"/>
  <c r="F52" i="3"/>
  <c r="F53" i="3" s="1"/>
  <c r="F40" i="3" s="1"/>
  <c r="F84" i="3"/>
  <c r="A171" i="2" l="1"/>
  <c r="B171" i="2"/>
  <c r="A144" i="2" l="1"/>
  <c r="B144" i="2"/>
  <c r="A138" i="2"/>
  <c r="B138" i="2"/>
  <c r="A89" i="2"/>
  <c r="B89" i="2"/>
  <c r="A23" i="2"/>
  <c r="B23" i="2"/>
  <c r="B19" i="2"/>
  <c r="A19" i="2"/>
  <c r="B15" i="2"/>
  <c r="B11" i="2"/>
  <c r="C327" i="2" l="1"/>
  <c r="I329" i="2"/>
  <c r="I375" i="2"/>
  <c r="C374" i="2"/>
  <c r="I288" i="2"/>
  <c r="I287" i="2"/>
  <c r="I283" i="2"/>
  <c r="I282" i="2"/>
  <c r="I281" i="2"/>
  <c r="I302" i="2"/>
  <c r="I301" i="2"/>
  <c r="I297" i="2"/>
  <c r="I298" i="2"/>
  <c r="I296" i="2"/>
  <c r="I295" i="2"/>
  <c r="C280" i="2"/>
  <c r="G167" i="2"/>
  <c r="I167" i="2" s="1"/>
  <c r="G166" i="2"/>
  <c r="I166" i="2" s="1"/>
  <c r="C463" i="2" l="1"/>
  <c r="I244" i="2"/>
  <c r="I370" i="2"/>
  <c r="C368" i="2"/>
  <c r="I164" i="2" l="1"/>
  <c r="I243" i="2"/>
  <c r="C423" i="2" l="1"/>
  <c r="I425" i="2"/>
  <c r="C260" i="2"/>
  <c r="I476" i="2"/>
  <c r="I478" i="2" s="1"/>
  <c r="I480" i="2"/>
  <c r="I482" i="2" s="1"/>
  <c r="I467" i="2"/>
  <c r="I469" i="2" s="1"/>
  <c r="I471" i="2" s="1"/>
  <c r="I473" i="2" s="1"/>
  <c r="I474" i="2" s="1"/>
  <c r="C484" i="2"/>
  <c r="C480" i="2"/>
  <c r="C476" i="2"/>
  <c r="C471" i="2"/>
  <c r="C467" i="2"/>
  <c r="I485" i="2"/>
  <c r="I486" i="2" s="1"/>
  <c r="F61" i="1" l="1"/>
  <c r="H61" i="1" s="1"/>
  <c r="F57" i="1"/>
  <c r="H57" i="1" s="1"/>
  <c r="F60" i="1"/>
  <c r="H60" i="1" s="1"/>
  <c r="F58" i="1"/>
  <c r="H58" i="1" s="1"/>
  <c r="F59" i="1"/>
  <c r="H59" i="1" s="1"/>
  <c r="F49" i="1"/>
  <c r="H49" i="1" s="1"/>
  <c r="H56" i="1" l="1"/>
  <c r="G12" i="4" s="1"/>
  <c r="C25" i="5" s="1"/>
  <c r="C419" i="2"/>
  <c r="I421" i="2"/>
  <c r="F48" i="1" s="1"/>
  <c r="I417" i="2"/>
  <c r="C415" i="2"/>
  <c r="H26" i="1"/>
  <c r="I398" i="2"/>
  <c r="I400" i="2" s="1"/>
  <c r="F25" i="5" l="1"/>
  <c r="G25" i="5"/>
  <c r="E25" i="5"/>
  <c r="D25" i="5"/>
  <c r="F47" i="1"/>
  <c r="H47" i="1" s="1"/>
  <c r="F43" i="1"/>
  <c r="H43" i="1" s="1"/>
  <c r="H48" i="1"/>
  <c r="C401" i="2"/>
  <c r="C334" i="2" l="1"/>
  <c r="I335" i="2"/>
  <c r="C320" i="2"/>
  <c r="I322" i="2"/>
  <c r="I321" i="2"/>
  <c r="C315" i="2"/>
  <c r="I317" i="2"/>
  <c r="I324" i="2" l="1"/>
  <c r="I337" i="2"/>
  <c r="I319" i="2"/>
  <c r="I460" i="2"/>
  <c r="C446" i="2"/>
  <c r="I449" i="2"/>
  <c r="I450" i="2"/>
  <c r="I451" i="2"/>
  <c r="I452" i="2"/>
  <c r="I453" i="2"/>
  <c r="I454" i="2"/>
  <c r="I455" i="2"/>
  <c r="I456" i="2"/>
  <c r="I457" i="2"/>
  <c r="I458" i="2"/>
  <c r="I459" i="2"/>
  <c r="A11" i="2"/>
  <c r="E25" i="1"/>
  <c r="F35" i="1" l="1"/>
  <c r="H35" i="1" s="1"/>
  <c r="I328" i="2"/>
  <c r="I331" i="2" s="1"/>
  <c r="I332" i="2" s="1"/>
  <c r="F34" i="1" s="1"/>
  <c r="F32" i="1"/>
  <c r="F33" i="1"/>
  <c r="H33" i="1" s="1"/>
  <c r="H32" i="1"/>
  <c r="I242" i="2"/>
  <c r="I241" i="2"/>
  <c r="I240" i="2"/>
  <c r="D222" i="2"/>
  <c r="I222" i="2" s="1"/>
  <c r="D221" i="2"/>
  <c r="I221" i="2" s="1"/>
  <c r="D232" i="2"/>
  <c r="I232" i="2" s="1"/>
  <c r="D231" i="2"/>
  <c r="I231" i="2" s="1"/>
  <c r="D229" i="2"/>
  <c r="I229" i="2" s="1"/>
  <c r="D228" i="2"/>
  <c r="I228" i="2" s="1"/>
  <c r="H34" i="1" l="1"/>
  <c r="I246" i="2"/>
  <c r="F22" i="1" s="1"/>
  <c r="G162" i="2"/>
  <c r="I162" i="2" s="1"/>
  <c r="G161" i="2"/>
  <c r="I161" i="2" s="1"/>
  <c r="I163" i="2"/>
  <c r="G160" i="2"/>
  <c r="I160" i="2" s="1"/>
  <c r="G158" i="2"/>
  <c r="I158" i="2" s="1"/>
  <c r="I159" i="2"/>
  <c r="D226" i="2"/>
  <c r="I226" i="2" s="1"/>
  <c r="D225" i="2"/>
  <c r="I225" i="2" s="1"/>
  <c r="D224" i="2"/>
  <c r="I224" i="2" s="1"/>
  <c r="D209" i="2"/>
  <c r="I207" i="2"/>
  <c r="I206" i="2"/>
  <c r="I205" i="2"/>
  <c r="D220" i="2"/>
  <c r="I220" i="2" s="1"/>
  <c r="D219" i="2"/>
  <c r="I219" i="2" s="1"/>
  <c r="D217" i="2"/>
  <c r="I217" i="2" s="1"/>
  <c r="D216" i="2"/>
  <c r="I216" i="2" s="1"/>
  <c r="D215" i="2"/>
  <c r="I215" i="2" s="1"/>
  <c r="D214" i="2"/>
  <c r="I214" i="2" s="1"/>
  <c r="I213" i="2"/>
  <c r="D212" i="2"/>
  <c r="I212" i="2" s="1"/>
  <c r="D211" i="2"/>
  <c r="I211" i="2" s="1"/>
  <c r="D204" i="2"/>
  <c r="I204" i="2" s="1"/>
  <c r="D203" i="2"/>
  <c r="I203" i="2" s="1"/>
  <c r="D202" i="2"/>
  <c r="I202" i="2" s="1"/>
  <c r="I194" i="2"/>
  <c r="I196" i="2" s="1"/>
  <c r="F20" i="1" s="1"/>
  <c r="I276" i="2"/>
  <c r="I275" i="2"/>
  <c r="I154" i="2"/>
  <c r="I155" i="2"/>
  <c r="I156" i="2"/>
  <c r="I273" i="2"/>
  <c r="I184" i="2" l="1"/>
  <c r="I278" i="2"/>
  <c r="G290" i="2" s="1"/>
  <c r="I146" i="2"/>
  <c r="I150" i="2"/>
  <c r="I149" i="2"/>
  <c r="I152" i="2"/>
  <c r="I290" i="2" l="1"/>
  <c r="G304" i="2"/>
  <c r="I304" i="2" s="1"/>
  <c r="I305" i="2" s="1"/>
  <c r="I306" i="2" s="1"/>
  <c r="I291" i="2"/>
  <c r="F27" i="1"/>
  <c r="H27" i="1" s="1"/>
  <c r="F18" i="1"/>
  <c r="H18" i="1" s="1"/>
  <c r="I148" i="2"/>
  <c r="I168" i="2" s="1"/>
  <c r="I140" i="2"/>
  <c r="I142" i="2" s="1"/>
  <c r="I134" i="2"/>
  <c r="G133" i="2"/>
  <c r="I133" i="2" s="1"/>
  <c r="G132" i="2"/>
  <c r="I132" i="2" s="1"/>
  <c r="G131" i="2"/>
  <c r="I131" i="2" s="1"/>
  <c r="G129" i="2"/>
  <c r="I129" i="2" s="1"/>
  <c r="G128" i="2"/>
  <c r="I128" i="2" s="1"/>
  <c r="G130" i="2"/>
  <c r="I130" i="2" s="1"/>
  <c r="G127" i="2"/>
  <c r="I127" i="2" s="1"/>
  <c r="G126" i="2"/>
  <c r="I126" i="2" s="1"/>
  <c r="G125" i="2"/>
  <c r="I125" i="2" s="1"/>
  <c r="G124" i="2"/>
  <c r="I124" i="2" s="1"/>
  <c r="G123" i="2"/>
  <c r="I123" i="2" s="1"/>
  <c r="G122" i="2"/>
  <c r="I122" i="2" s="1"/>
  <c r="G121" i="2"/>
  <c r="I121" i="2" s="1"/>
  <c r="G120" i="2"/>
  <c r="I120" i="2" s="1"/>
  <c r="G119" i="2"/>
  <c r="I119" i="2" s="1"/>
  <c r="G118" i="2"/>
  <c r="I118" i="2" s="1"/>
  <c r="G117" i="2"/>
  <c r="I117" i="2" s="1"/>
  <c r="G116" i="2"/>
  <c r="I116" i="2" s="1"/>
  <c r="G115" i="2"/>
  <c r="I115" i="2" s="1"/>
  <c r="G114" i="2"/>
  <c r="I114" i="2" s="1"/>
  <c r="G113" i="2"/>
  <c r="I113" i="2" s="1"/>
  <c r="G112" i="2"/>
  <c r="I112" i="2" s="1"/>
  <c r="G111" i="2"/>
  <c r="I111" i="2" s="1"/>
  <c r="G110" i="2"/>
  <c r="I110" i="2" s="1"/>
  <c r="G109" i="2"/>
  <c r="I109" i="2" s="1"/>
  <c r="G108" i="2"/>
  <c r="I108" i="2" s="1"/>
  <c r="G107" i="2"/>
  <c r="I107" i="2" s="1"/>
  <c r="G106" i="2"/>
  <c r="I106" i="2" s="1"/>
  <c r="G105" i="2"/>
  <c r="I105" i="2" s="1"/>
  <c r="G104" i="2"/>
  <c r="I104" i="2" s="1"/>
  <c r="G103" i="2"/>
  <c r="I103" i="2" s="1"/>
  <c r="G102" i="2"/>
  <c r="I102" i="2" s="1"/>
  <c r="G101" i="2"/>
  <c r="I101" i="2" s="1"/>
  <c r="G100" i="2"/>
  <c r="I100" i="2" s="1"/>
  <c r="G99" i="2"/>
  <c r="I99" i="2" s="1"/>
  <c r="G98" i="2"/>
  <c r="I98" i="2" s="1"/>
  <c r="G97" i="2"/>
  <c r="I97" i="2" s="1"/>
  <c r="G96" i="2"/>
  <c r="I96" i="2" s="1"/>
  <c r="G95" i="2"/>
  <c r="I95" i="2" s="1"/>
  <c r="G94" i="2"/>
  <c r="I94" i="2" s="1"/>
  <c r="G93" i="2"/>
  <c r="I93" i="2" s="1"/>
  <c r="G92" i="2"/>
  <c r="I92" i="2" s="1"/>
  <c r="G91" i="2"/>
  <c r="I91" i="2" s="1"/>
  <c r="I292" i="2" l="1"/>
  <c r="F28" i="1" s="1"/>
  <c r="H28" i="1" s="1"/>
  <c r="F29" i="1"/>
  <c r="H29" i="1" s="1"/>
  <c r="F16" i="1"/>
  <c r="H16" i="1" s="1"/>
  <c r="F17" i="1"/>
  <c r="H17" i="1" s="1"/>
  <c r="I136" i="2"/>
  <c r="D84" i="2"/>
  <c r="I84" i="2" s="1"/>
  <c r="D82" i="2"/>
  <c r="I82" i="2" s="1"/>
  <c r="D81" i="2"/>
  <c r="I81" i="2" s="1"/>
  <c r="D79" i="2"/>
  <c r="I79" i="2" s="1"/>
  <c r="F15" i="1" l="1"/>
  <c r="H15" i="1" s="1"/>
  <c r="D77" i="2"/>
  <c r="I77" i="2" s="1"/>
  <c r="D75" i="2"/>
  <c r="I75" i="2" s="1"/>
  <c r="D73" i="2"/>
  <c r="I73" i="2" s="1"/>
  <c r="D71" i="2"/>
  <c r="I71" i="2" s="1"/>
  <c r="D69" i="2"/>
  <c r="I69" i="2" s="1"/>
  <c r="D67" i="2"/>
  <c r="I67" i="2" s="1"/>
  <c r="D65" i="2"/>
  <c r="I65" i="2" s="1"/>
  <c r="D63" i="2"/>
  <c r="I63" i="2" s="1"/>
  <c r="D61" i="2"/>
  <c r="I61" i="2" s="1"/>
  <c r="D48" i="2"/>
  <c r="I48" i="2" s="1"/>
  <c r="D32" i="2"/>
  <c r="I32" i="2" s="1"/>
  <c r="D30" i="2"/>
  <c r="I30" i="2" s="1"/>
  <c r="D59" i="2"/>
  <c r="I59" i="2" s="1"/>
  <c r="D58" i="2"/>
  <c r="I58" i="2" s="1"/>
  <c r="D56" i="2"/>
  <c r="I56" i="2" s="1"/>
  <c r="D55" i="2"/>
  <c r="I55" i="2" s="1"/>
  <c r="D54" i="2"/>
  <c r="I54" i="2" s="1"/>
  <c r="D52" i="2"/>
  <c r="I52" i="2" s="1"/>
  <c r="D50" i="2"/>
  <c r="I50" i="2" s="1"/>
  <c r="D46" i="2"/>
  <c r="I46" i="2" s="1"/>
  <c r="D44" i="2"/>
  <c r="I44" i="2" s="1"/>
  <c r="D42" i="2"/>
  <c r="I42" i="2" s="1"/>
  <c r="D40" i="2"/>
  <c r="I40" i="2" s="1"/>
  <c r="D38" i="2"/>
  <c r="I38" i="2" s="1"/>
  <c r="D36" i="2"/>
  <c r="I36" i="2" s="1"/>
  <c r="D34" i="2"/>
  <c r="I34" i="2" s="1"/>
  <c r="D28" i="2"/>
  <c r="I28" i="2" s="1"/>
  <c r="D26" i="2" l="1"/>
  <c r="I26" i="2" s="1"/>
  <c r="I85" i="2" s="1"/>
  <c r="I86" i="2" s="1"/>
  <c r="F14" i="1" l="1"/>
  <c r="H14" i="1" s="1"/>
  <c r="C308" i="2"/>
  <c r="J443" i="2" l="1"/>
  <c r="I374" i="2" l="1"/>
  <c r="I376" i="2" l="1"/>
  <c r="F39" i="1" l="1"/>
  <c r="H39" i="1" s="1"/>
  <c r="I441" i="2"/>
  <c r="C439" i="2"/>
  <c r="I440" i="2"/>
  <c r="I439" i="2"/>
  <c r="I443" i="2" l="1"/>
  <c r="F53" i="1" l="1"/>
  <c r="H53" i="1" s="1"/>
  <c r="I412" i="2"/>
  <c r="I413" i="2" s="1"/>
  <c r="F46" i="1" s="1"/>
  <c r="H24" i="1" l="1"/>
  <c r="C432" i="2" l="1"/>
  <c r="I434" i="2"/>
  <c r="I433" i="2"/>
  <c r="I432" i="2"/>
  <c r="I436" i="2" l="1"/>
  <c r="I437" i="2" s="1"/>
  <c r="F52" i="1" s="1"/>
  <c r="H52" i="1" s="1"/>
  <c r="I407" i="2" l="1"/>
  <c r="C406" i="2"/>
  <c r="I406" i="2"/>
  <c r="I209" i="2"/>
  <c r="I235" i="2" s="1"/>
  <c r="F21" i="1" s="1"/>
  <c r="I262" i="2"/>
  <c r="C248" i="2"/>
  <c r="A248" i="2"/>
  <c r="C237" i="2"/>
  <c r="A237" i="2"/>
  <c r="I369" i="2"/>
  <c r="I368" i="2"/>
  <c r="I264" i="2" l="1"/>
  <c r="F25" i="1" s="1"/>
  <c r="I408" i="2"/>
  <c r="F45" i="1" s="1"/>
  <c r="H22" i="1"/>
  <c r="I252" i="2"/>
  <c r="I312" i="2"/>
  <c r="I372" i="2"/>
  <c r="F38" i="1" s="1"/>
  <c r="F30" i="1" l="1"/>
  <c r="H30" i="1" s="1"/>
  <c r="F23" i="1"/>
  <c r="H23" i="1" s="1"/>
  <c r="H38" i="1"/>
  <c r="H45" i="1"/>
  <c r="H25" i="1"/>
  <c r="C340" i="2"/>
  <c r="C199" i="2" l="1"/>
  <c r="I347" i="2"/>
  <c r="I345" i="2"/>
  <c r="I344" i="2"/>
  <c r="H21" i="1" l="1"/>
  <c r="C427" i="2" l="1"/>
  <c r="I430" i="2" l="1"/>
  <c r="I342" i="2"/>
  <c r="I341" i="2"/>
  <c r="F51" i="1" l="1"/>
  <c r="H51" i="1" s="1"/>
  <c r="I348" i="2"/>
  <c r="I350" i="2"/>
  <c r="I351" i="2"/>
  <c r="I349" i="2"/>
  <c r="I346" i="2"/>
  <c r="I343" i="2"/>
  <c r="I359" i="2"/>
  <c r="I355" i="2"/>
  <c r="I353" i="2"/>
  <c r="I354" i="2"/>
  <c r="I356" i="2"/>
  <c r="I357" i="2"/>
  <c r="I358" i="2" l="1"/>
  <c r="I463" i="2" l="1"/>
  <c r="I382" i="2"/>
  <c r="C378" i="2"/>
  <c r="I378" i="2"/>
  <c r="C294" i="2"/>
  <c r="C192" i="2"/>
  <c r="C187" i="2"/>
  <c r="C171" i="2"/>
  <c r="C144" i="2"/>
  <c r="C138" i="2"/>
  <c r="C23" i="2"/>
  <c r="C19" i="2"/>
  <c r="C15" i="2"/>
  <c r="A15" i="2"/>
  <c r="C11" i="2"/>
  <c r="F40" i="1" l="1"/>
  <c r="H40" i="1" s="1"/>
  <c r="I464" i="2"/>
  <c r="F55" i="1" s="1"/>
  <c r="I448" i="2"/>
  <c r="I447" i="2"/>
  <c r="I446" i="2"/>
  <c r="H46" i="1"/>
  <c r="I364" i="2"/>
  <c r="I366" i="2" s="1"/>
  <c r="F37" i="1" l="1"/>
  <c r="H37" i="1" s="1"/>
  <c r="H55" i="1"/>
  <c r="I461" i="2"/>
  <c r="F54" i="1" s="1"/>
  <c r="M31" i="1"/>
  <c r="H54" i="1" l="1"/>
  <c r="I403" i="2"/>
  <c r="I402" i="2"/>
  <c r="I393" i="2"/>
  <c r="I392" i="2"/>
  <c r="C391" i="2"/>
  <c r="C362" i="2"/>
  <c r="I352" i="2"/>
  <c r="I360" i="2" s="1"/>
  <c r="F36" i="1" s="1"/>
  <c r="I188" i="2"/>
  <c r="I20" i="2"/>
  <c r="I21" i="2" s="1"/>
  <c r="F13" i="1" s="1"/>
  <c r="I12" i="2"/>
  <c r="I13" i="2" s="1"/>
  <c r="F11" i="1" s="1"/>
  <c r="I16" i="2"/>
  <c r="I17" i="2" s="1"/>
  <c r="F12" i="1" s="1"/>
  <c r="H11" i="1" l="1"/>
  <c r="H12" i="1"/>
  <c r="H13" i="1"/>
  <c r="H36" i="1"/>
  <c r="I410" i="2" l="1"/>
  <c r="I401" i="2"/>
  <c r="I404" i="2" s="1"/>
  <c r="I391" i="2"/>
  <c r="I394" i="2" s="1"/>
  <c r="F42" i="1" s="1"/>
  <c r="H20" i="1"/>
  <c r="I187" i="2"/>
  <c r="I190" i="2" s="1"/>
  <c r="F19" i="1" s="1"/>
  <c r="H19" i="1" s="1"/>
  <c r="C410" i="2"/>
  <c r="F44" i="1" l="1"/>
  <c r="H44" i="1" s="1"/>
  <c r="H10" i="1"/>
  <c r="H42" i="1"/>
  <c r="G9" i="4" l="1"/>
  <c r="C16" i="5" s="1"/>
  <c r="D16" i="5" s="1"/>
  <c r="H31" i="1"/>
  <c r="C397" i="2"/>
  <c r="E16" i="5" l="1"/>
  <c r="G10" i="4"/>
  <c r="C19" i="5" l="1"/>
  <c r="F19" i="5" l="1"/>
  <c r="G19" i="5"/>
  <c r="D19" i="5"/>
  <c r="E19" i="5"/>
  <c r="H50" i="1"/>
  <c r="H62" i="1" s="1"/>
  <c r="G11" i="4" l="1"/>
  <c r="C22" i="5" l="1"/>
  <c r="G14" i="4"/>
  <c r="G22" i="5" l="1"/>
  <c r="G30" i="5" s="1"/>
  <c r="D22" i="5"/>
  <c r="D30" i="5" s="1"/>
  <c r="F22" i="5"/>
  <c r="F30" i="5" s="1"/>
  <c r="E22" i="5"/>
  <c r="E30" i="5" s="1"/>
  <c r="C31" i="5"/>
  <c r="G32" i="5" l="1"/>
  <c r="D31" i="5"/>
  <c r="E31" i="5" s="1"/>
  <c r="F31" i="5" s="1"/>
  <c r="G31" i="5" s="1"/>
  <c r="C9" i="5" s="1"/>
  <c r="D32" i="5"/>
  <c r="D33" i="5" s="1"/>
  <c r="F32" i="5"/>
  <c r="E32" i="5"/>
  <c r="E33" i="5" l="1"/>
  <c r="F33" i="5" s="1"/>
  <c r="G33" i="5" s="1"/>
</calcChain>
</file>

<file path=xl/sharedStrings.xml><?xml version="1.0" encoding="utf-8"?>
<sst xmlns="http://schemas.openxmlformats.org/spreadsheetml/2006/main" count="936" uniqueCount="500">
  <si>
    <t>ORÇAMENTO</t>
  </si>
  <si>
    <t>Serviço:</t>
  </si>
  <si>
    <t>Localidade:</t>
  </si>
  <si>
    <t>Recife - PE</t>
  </si>
  <si>
    <t>Área:</t>
  </si>
  <si>
    <t>Contratante:</t>
  </si>
  <si>
    <t>ITEM</t>
  </si>
  <si>
    <t>CÓDIGO</t>
  </si>
  <si>
    <t>DESCRIÇÃO</t>
  </si>
  <si>
    <t>UNID</t>
  </si>
  <si>
    <t>QUANT.</t>
  </si>
  <si>
    <t>PREÇO</t>
  </si>
  <si>
    <t>UNITÁRIO</t>
  </si>
  <si>
    <t xml:space="preserve">TOTAL </t>
  </si>
  <si>
    <t>1.1</t>
  </si>
  <si>
    <t>M²</t>
  </si>
  <si>
    <t>1.2</t>
  </si>
  <si>
    <t>1.3</t>
  </si>
  <si>
    <t>Und.</t>
  </si>
  <si>
    <t>1.4</t>
  </si>
  <si>
    <t>1.5</t>
  </si>
  <si>
    <t>CP-06</t>
  </si>
  <si>
    <t>M</t>
  </si>
  <si>
    <t>2.1</t>
  </si>
  <si>
    <t>02.01.200</t>
  </si>
  <si>
    <t>Serviço topográfico de pequeno porte (preço mínimo), diária de uma equipe com topógrafo, quatro auxiliares, teodolito, nível ótico etc.</t>
  </si>
  <si>
    <t>2.3</t>
  </si>
  <si>
    <t>2.4</t>
  </si>
  <si>
    <t>2.5</t>
  </si>
  <si>
    <t>2.6</t>
  </si>
  <si>
    <t xml:space="preserve">TOTAL GERAL </t>
  </si>
  <si>
    <t>SERVIÇOS PRELIMINARES</t>
  </si>
  <si>
    <t>m²</t>
  </si>
  <si>
    <t>74209/001</t>
  </si>
  <si>
    <t>Placa de obra em chapa de aço galvanizado.</t>
  </si>
  <si>
    <t>74210/001</t>
  </si>
  <si>
    <t>Barracão para deposito em tábuas de madeira, cobertura em fibrocimento 4 mm, incluso piso argamassa traço 1:6 (cimento e areia).</t>
  </si>
  <si>
    <t>und</t>
  </si>
  <si>
    <t>4.0</t>
  </si>
  <si>
    <t>4.3</t>
  </si>
  <si>
    <t>4.4</t>
  </si>
  <si>
    <t xml:space="preserve">PAVIMENTAÇÃO E DRENAGEM </t>
  </si>
  <si>
    <t>S/ BDI</t>
  </si>
  <si>
    <t>MEMÓRIA DE CALCULO</t>
  </si>
  <si>
    <t>DESCRIÇÃO DO SERVIÇO P/ AMBIENTE</t>
  </si>
  <si>
    <t>compr.</t>
  </si>
  <si>
    <t>largura</t>
  </si>
  <si>
    <t>prof./alt</t>
  </si>
  <si>
    <t>taxa</t>
  </si>
  <si>
    <t>UND</t>
  </si>
  <si>
    <t>TOTAL GERAL</t>
  </si>
  <si>
    <t>TOTAL</t>
  </si>
  <si>
    <t/>
  </si>
  <si>
    <t>M2</t>
  </si>
  <si>
    <t>CP-09</t>
  </si>
  <si>
    <t xml:space="preserve">Demolição de pedra portuguesa </t>
  </si>
  <si>
    <t>Demolição de placa de sinalização</t>
  </si>
  <si>
    <t>Und</t>
  </si>
  <si>
    <t>2.7</t>
  </si>
  <si>
    <t>74235/001</t>
  </si>
  <si>
    <t xml:space="preserve">URBANISMO E PAISAGISMO </t>
  </si>
  <si>
    <t>2.2</t>
  </si>
  <si>
    <t>4.1</t>
  </si>
  <si>
    <t xml:space="preserve">M </t>
  </si>
  <si>
    <t>Medidos da Planta  - AutoCad</t>
  </si>
  <si>
    <t>Caldas Projetadas</t>
  </si>
  <si>
    <t>Medidos na Planta  - AutoCad</t>
  </si>
  <si>
    <t xml:space="preserve">DESCRIÇÃO DOS CÁLCULOS </t>
  </si>
  <si>
    <t>Projeto com a finalidade de realizar Obras de Acessibilidade nos Atrativos Turísticos das Cidades de Recife e Olinda no Estado de Pernambuco</t>
  </si>
  <si>
    <t>Governo do Estado de Pernambuco - Secretaria de Turismo (SETUR)</t>
  </si>
  <si>
    <t>1.0</t>
  </si>
  <si>
    <t>Demolição de telhas onduladas (barracas)</t>
  </si>
  <si>
    <t>Demolição de divisorias em chapas ou tabuas, inclusive demolição de entarugamento.  (barracas)</t>
  </si>
  <si>
    <t>1.6</t>
  </si>
  <si>
    <t>1.7</t>
  </si>
  <si>
    <t>1.8</t>
  </si>
  <si>
    <t>1.9</t>
  </si>
  <si>
    <t>1.10</t>
  </si>
  <si>
    <t>1.11</t>
  </si>
  <si>
    <t>2.0</t>
  </si>
  <si>
    <t>Assentamento de Piso Tatil Direcional ou Alerta, aplicação e mao-de-obra.</t>
  </si>
  <si>
    <t>3.1</t>
  </si>
  <si>
    <t>3.3</t>
  </si>
  <si>
    <t>4.5</t>
  </si>
  <si>
    <t>Dimensões</t>
  </si>
  <si>
    <t>Barracas - Medidos na Planta - AutoCad</t>
  </si>
  <si>
    <t>área</t>
  </si>
  <si>
    <t>Praça da República</t>
  </si>
  <si>
    <t xml:space="preserve">Calçada Teatro santa Isabel </t>
  </si>
  <si>
    <t>Calçada Praça da Republica</t>
  </si>
  <si>
    <t xml:space="preserve">Calçadas </t>
  </si>
  <si>
    <t>Calçada em frente a Procuradoria geral</t>
  </si>
  <si>
    <t>Calçadas Rua Frei Caneca</t>
  </si>
  <si>
    <t xml:space="preserve">Calçadas Rua Floriano Peixoto </t>
  </si>
  <si>
    <t xml:space="preserve">Calçadas Casa da Cultura </t>
  </si>
  <si>
    <t xml:space="preserve">Calçada - Entorno Teatro Santa Isabel </t>
  </si>
  <si>
    <t xml:space="preserve">Calçada - Entorno Casa da Cultura/ Para construção de baia de ônibus </t>
  </si>
  <si>
    <t>COMPOSIÇÃO</t>
  </si>
  <si>
    <t>1.12</t>
  </si>
  <si>
    <t>1.13</t>
  </si>
  <si>
    <t>REFERENCIA</t>
  </si>
  <si>
    <t xml:space="preserve">Rua Floriano Peixoto </t>
  </si>
  <si>
    <t>CP-10</t>
  </si>
  <si>
    <t>Demolição de meio-fio e linha d’água.</t>
  </si>
  <si>
    <t>1.14</t>
  </si>
  <si>
    <t>Reparo de passeio em blocos intertravados com espessura 6,5 cm sobre colchão de areia, considerando 10% da área total.</t>
  </si>
  <si>
    <t xml:space="preserve">Demolicao de pavimentacao asfaltica, exclusive transporte do material retirado
</t>
  </si>
  <si>
    <t>4.2</t>
  </si>
  <si>
    <t>Demolicao de piso em blocos intertravado de concreto.</t>
  </si>
  <si>
    <t>1.15</t>
  </si>
  <si>
    <t>1.16</t>
  </si>
  <si>
    <t>1.18</t>
  </si>
  <si>
    <t>1.19</t>
  </si>
  <si>
    <t xml:space="preserve">Rua do Sol </t>
  </si>
  <si>
    <t>Retirada de poste de concreto, fixado no solo sem remoção.</t>
  </si>
  <si>
    <t>Transporte de poste, para uma distância média de 2km</t>
  </si>
  <si>
    <t>74236/001</t>
  </si>
  <si>
    <t>M³</t>
  </si>
  <si>
    <t>Fornecimento e assentamento de frade em concreto armado (concretisa ou similar) com diâmetro de 0,40 cm e altura de 0,40.</t>
  </si>
  <si>
    <t>Demolição de paradas de onibus em concreto estrutural</t>
  </si>
  <si>
    <t>M3</t>
  </si>
  <si>
    <t>T/KM</t>
  </si>
  <si>
    <t>Transporte de material de qualquer natureza dmt &gt; 10 km</t>
  </si>
  <si>
    <t>t</t>
  </si>
  <si>
    <t xml:space="preserve">Concreto betuminoso usinado a quente com cap 50/70, binder, incluso usinagem e aplicacao, exclusive transporte
</t>
  </si>
  <si>
    <t>T</t>
  </si>
  <si>
    <t>2.12</t>
  </si>
  <si>
    <t>C1=3,10+16,44+3,98+7,88+1,95+21,93+4,75+12,18+5,49+3,75+4,66+2,66</t>
  </si>
  <si>
    <t>Avenida Martins Barros (Lado Esquerdo) com a Rua do Imperador</t>
  </si>
  <si>
    <t>C1=1,79+1,90+0,50+4,00+0,50+5,00+4,85+4,25</t>
  </si>
  <si>
    <t>Rua do Imperador (Lado Esquerdo)</t>
  </si>
  <si>
    <t>Praça da República (Lado Esquerdo)</t>
  </si>
  <si>
    <t>Av. Dantas Barreto (Lado Esquerdo)</t>
  </si>
  <si>
    <t>C2=2,17+2,65+3,59+3,59</t>
  </si>
  <si>
    <t>Praça da República (Lado Direito)</t>
  </si>
  <si>
    <t>C3=3,18+1,19+1,68+1,83+2,70+3,30+4,95+2,10+2,33+2,00+2,96</t>
  </si>
  <si>
    <t>C4=3,21+1,95+0,70+5,00+0,70+2,06+3,20</t>
  </si>
  <si>
    <t>Praça da República (Lado Direito) com Rua do Sol</t>
  </si>
  <si>
    <t>C1=2,87+43,07+5,00+0,24+6,79+42,92+2,61</t>
  </si>
  <si>
    <t>Rua do Sol (Lado Esquerdo)</t>
  </si>
  <si>
    <t>C1=3,42+8,48+3,22</t>
  </si>
  <si>
    <t>C1=1,86+2,58+1,53</t>
  </si>
  <si>
    <t>Rua Siqueira Campos (Lado Esquerdo)</t>
  </si>
  <si>
    <t>C1=3,78+2,45+3,58</t>
  </si>
  <si>
    <t>Rua do Sol (Lado Direito)</t>
  </si>
  <si>
    <t>C2=14,17+2,00+3,00+2,00+7,46</t>
  </si>
  <si>
    <t>Rua do Sol com Av. Guararapes</t>
  </si>
  <si>
    <t>C1=0,15+5,54+0,15+1,60+1,00+5,00+0,15+2,55+0,15+5,70+0,15+2,55+0,15+5,00+1,00+1,60</t>
  </si>
  <si>
    <t>C2=0,15+2,55+0,15+1,00+5,00+0,15+2,55+0,15+2,88+0,15+2,55+0,15+5,00+1,00</t>
  </si>
  <si>
    <t>C3=0,15+5,45+0,15+0,93+1,00+5,00+0,15+2,55+0,15+5,70+0,15+2,55+0,15+5,00+1,00+0,93</t>
  </si>
  <si>
    <t>C3=5,37+2,00+3,00+2,00+5,82+4,99</t>
  </si>
  <si>
    <t>C4=3,59+1,50+3,00+1,50+3,59</t>
  </si>
  <si>
    <t>C5=3,65+3,00+3,62</t>
  </si>
  <si>
    <t>C1=2,20+0,85+4,00+0,85+2,20</t>
  </si>
  <si>
    <t>C2=2,20+0,85+4,00+0,85+2,20</t>
  </si>
  <si>
    <t>C1=4,00+2,00+3,00+0,74+1,05+3,80</t>
  </si>
  <si>
    <t>C6=2,80+1,27+3,00+1,60+3,34</t>
  </si>
  <si>
    <t>Rua Matias de Albuquerque</t>
  </si>
  <si>
    <t>C1=8,15+3,14+4,51+14,25+3,80+3,85</t>
  </si>
  <si>
    <t>Rua do Sol com Rua Nova</t>
  </si>
  <si>
    <t>C1=2,63+31,93+5,00+1,97+1,43+3,00+2,00+2,29+3,59</t>
  </si>
  <si>
    <t>C1=2,04+2,00+3,00+4,02+5,76+1,14+7,81+2,00+3,00+2,00+3,41+7,99+5,47+13,83+2,47+28,17+2,00+1,50+9,18+6,66</t>
  </si>
  <si>
    <t>Rua Floriano Peixoto (Lado Direito)</t>
  </si>
  <si>
    <t>C1=3,83+0,43+2,27+1,02+2,16+2,14+5,30+3,87+1,24+3,92+5,47+5,96+32,56+15,18+2,21</t>
  </si>
  <si>
    <t>C2=2,21+14,61+6,38+18,61+12,21+5,01+1,50+3,00+1,50+5,71+1,50+0,29+3,00+61,82+16,84+3,95+11,35+3,00+5,00+3,00+1,60</t>
  </si>
  <si>
    <t>Rua Floriano Peixoto (Lado Esquerdo) com Avenida Rio Capibaribe</t>
  </si>
  <si>
    <t xml:space="preserve">Rua Floriano Peixoto (Lado Esquerdo) </t>
  </si>
  <si>
    <t>Avenida Rio Capibaribe com Rua Floriano Peixoto (Lado Esquerdo) até a Rua Tobias Barreto</t>
  </si>
  <si>
    <t>C3=2,66+2,00+5,00+2,00+1,25+0,63+9,72+17,70+28,84+80,00+5,58+1,96+1,37+1,40+54,42+2,71</t>
  </si>
  <si>
    <t xml:space="preserve">Avenida Rio Capibaribe (Lado Esquerdo) </t>
  </si>
  <si>
    <t>C1=7,89+39,30+7,66+39,52</t>
  </si>
  <si>
    <t xml:space="preserve">Avenida Rio Capibaribe (Lado Direito) </t>
  </si>
  <si>
    <t>C2=2,59+0,70+7,00+0,70+2,71</t>
  </si>
  <si>
    <t>Avenida Rio Capibaribe com Rua Seis</t>
  </si>
  <si>
    <t>C1=4,11+3,00+8,39+2,57+0,73+6,56+1,41+3,00+7,97</t>
  </si>
  <si>
    <t>Avenida Rio Capibaribe (Lado Direito) com Rua Velha</t>
  </si>
  <si>
    <t>C1=3,24+1,52+2,78+2,00+1,85+3,00+2,31+2,30+2,00+1,00+1,90+2,86</t>
  </si>
  <si>
    <t>C2=9,93+12,51+3,00+2,00+6,40+4,86</t>
  </si>
  <si>
    <t>Rua Seis (Lado Direito)</t>
  </si>
  <si>
    <t>C1=3,66+10,46+9,42+43,27+8,62+1,38+2,00+3,00+2,00+16,99+3,78</t>
  </si>
  <si>
    <t>A1=4,66x2,39</t>
  </si>
  <si>
    <t>A2=3,10x3,21</t>
  </si>
  <si>
    <t>A3=3,52x3,19</t>
  </si>
  <si>
    <t>A4=3,13x3,05</t>
  </si>
  <si>
    <t>A5=4,00x2,28</t>
  </si>
  <si>
    <t>A6=2,01x2,23</t>
  </si>
  <si>
    <t>A7=2,89x1,08</t>
  </si>
  <si>
    <t>A8=1,55x0,70</t>
  </si>
  <si>
    <t>A9=1,12x0,60</t>
  </si>
  <si>
    <t>A10=1,53x0,53</t>
  </si>
  <si>
    <t>A11=1,07x0,75</t>
  </si>
  <si>
    <t>A12=1,22x0,52</t>
  </si>
  <si>
    <t>A13=0,98x0,44</t>
  </si>
  <si>
    <t>A14=0,44x0,76</t>
  </si>
  <si>
    <t>A15=1,92x1,54</t>
  </si>
  <si>
    <t>A16=1,53x0,52</t>
  </si>
  <si>
    <t>A17=0,90x0,56</t>
  </si>
  <si>
    <t>A18=1,19x0,64</t>
  </si>
  <si>
    <t>A19=1,19x0,58</t>
  </si>
  <si>
    <t>A20=0,72x0,44</t>
  </si>
  <si>
    <t>A21=1,07x0,64</t>
  </si>
  <si>
    <t>A22=0,49x0,41</t>
  </si>
  <si>
    <t>A23=2,15x0,55</t>
  </si>
  <si>
    <t>A24=1,34x0,54</t>
  </si>
  <si>
    <t>A25=0,90x0,77</t>
  </si>
  <si>
    <t>A26=1,10x0,51</t>
  </si>
  <si>
    <t>A27=0,77x1,17</t>
  </si>
  <si>
    <t>A28=1,56x0,79</t>
  </si>
  <si>
    <t>A29=1,56x0,88</t>
  </si>
  <si>
    <t>A30=1,27x0,81</t>
  </si>
  <si>
    <t>A31=1,04x0,62</t>
  </si>
  <si>
    <t>A32=1,08x0,79</t>
  </si>
  <si>
    <t>A33=0,67x0,57</t>
  </si>
  <si>
    <t>A34=1,46x0,84</t>
  </si>
  <si>
    <t>A35=1,01x0,55</t>
  </si>
  <si>
    <t>A36=2,17x1,55</t>
  </si>
  <si>
    <t>A38=0,96x0,51</t>
  </si>
  <si>
    <t>A39=2,32x2,06</t>
  </si>
  <si>
    <t>A40=2,14x1,05</t>
  </si>
  <si>
    <t>A41=1,32x0,57</t>
  </si>
  <si>
    <t>A42=2,45x2,38</t>
  </si>
  <si>
    <t>A43=1,51x0,92</t>
  </si>
  <si>
    <t>A44=3,40 (medida no autocad)</t>
  </si>
  <si>
    <t>Rua Floriano Peixoto com a Ponte Boa Vista</t>
  </si>
  <si>
    <t>A37=1,85x3,87</t>
  </si>
  <si>
    <t xml:space="preserve">Área de demolição das Barracas </t>
  </si>
  <si>
    <t>A1=240,71 (medida no autocad)</t>
  </si>
  <si>
    <t>A1=511,68 (medida no autocad)</t>
  </si>
  <si>
    <t>A1=1,46 (medida no autocad)</t>
  </si>
  <si>
    <t>A2=32,19(medida no autocad)</t>
  </si>
  <si>
    <t>A3=17,53 (medida no autocad)</t>
  </si>
  <si>
    <t>A1=1,23 (medida no autocad)</t>
  </si>
  <si>
    <t xml:space="preserve">Praça próxima a Casa da Cultura </t>
  </si>
  <si>
    <t>A1=(14,25+8,15)x7,64/2,00</t>
  </si>
  <si>
    <t>1.20</t>
  </si>
  <si>
    <t>EMLURB/2013</t>
  </si>
  <si>
    <t>Rua Ulhoa Cintra (Lado Esquerdo)</t>
  </si>
  <si>
    <t>Rua Imperador Dom Pedro II</t>
  </si>
  <si>
    <t>Rua Imperador Dom Pedro II com a Avenida Martins de Barros</t>
  </si>
  <si>
    <t>Rua Floriano Peixoto (próximo a Casa da Cultura)</t>
  </si>
  <si>
    <t>A1=35,48 (medida no autocad)</t>
  </si>
  <si>
    <t>A1=22,97 (medida no autocad)</t>
  </si>
  <si>
    <t>A1=36,55 (medida no autocad)</t>
  </si>
  <si>
    <t>A1=10,45 (medida no autocad)</t>
  </si>
  <si>
    <t>A2=57,65  (medida no autocad)</t>
  </si>
  <si>
    <t>03.01.230</t>
  </si>
  <si>
    <t>Avenida Rio Capibaribe (próx a Casa da Cultura)</t>
  </si>
  <si>
    <t>A1=209,51 (medida no autocad)</t>
  </si>
  <si>
    <t>A3=47,54 (medida no autocad)</t>
  </si>
  <si>
    <t xml:space="preserve">Rua Seis - próximo a Casa da Cultura </t>
  </si>
  <si>
    <t>A1=24,79 (medida no autocad)</t>
  </si>
  <si>
    <t>A1=22,36  (medida no autocad)</t>
  </si>
  <si>
    <t xml:space="preserve">Rua Seis com a Avenida Rio Capibaribe - próximo a Casa da Cultura </t>
  </si>
  <si>
    <t>A1=21,00 (medida no autocad)</t>
  </si>
  <si>
    <t>A2=1,15 (medida no autocad)</t>
  </si>
  <si>
    <t>C1=8,83+45,22+31,23+11,60+9,50+47,52+7,13+5,85+2,52+4,07+4,06+42,95+27,23+3,73+3,81+9,61+20,46</t>
  </si>
  <si>
    <t>C1=0,43+2,27+2,16+2,14+5,30+3,87+1,24+3,92+5,47+5,96+10,55+2,21+11,17+11,11+12,47</t>
  </si>
  <si>
    <t>C2=1,50+3,00+1,50</t>
  </si>
  <si>
    <t>C3=37,38+13,84+3,95+11,35+3,00+5,00+3,00</t>
  </si>
  <si>
    <t>Avenida Rio Capibaribe</t>
  </si>
  <si>
    <t>C1=2,00+5,00+2,00+1,25</t>
  </si>
  <si>
    <t>C2=4,80+30,27+2,37+3,43</t>
  </si>
  <si>
    <t>C3=29,81</t>
  </si>
  <si>
    <t>C4=0,70+7,00+0,70</t>
  </si>
  <si>
    <t>C5=3,00+4,72+1,82+9,37+1,41+3,00</t>
  </si>
  <si>
    <t>C6=1,52+2,78+2,00+1,85+3,00+3,11+2,00+1,90</t>
  </si>
  <si>
    <t>C7=12,51+3,00+2,00+6,40</t>
  </si>
  <si>
    <t>Avenida Rio Capibaribe com a Rua Seis</t>
  </si>
  <si>
    <t>C1=16,99+2,00+3,00+2,00+1,38+8,62+43,27+9,42</t>
  </si>
  <si>
    <t>C4=12,93</t>
  </si>
  <si>
    <t>C5=17,30</t>
  </si>
  <si>
    <t>C6=5,53</t>
  </si>
  <si>
    <t>C1=31,93+3,94+3,51+3,00+2,00+2,29</t>
  </si>
  <si>
    <t>Rua Nova com Rua do Sol</t>
  </si>
  <si>
    <t>C1=4,02+9,81+1,35+5,63+0,84+3,45+4,64+3,86+4,77+11,06</t>
  </si>
  <si>
    <t>C2=4,02+5,76+1,14+7,81+2,00+3,00+2,00+3,41+7,99+5,47+13,83</t>
  </si>
  <si>
    <t>C3=22,94+2,50+6,74+3,99+2,45+1,35+4,95+2,27</t>
  </si>
  <si>
    <t>03.01.050</t>
  </si>
  <si>
    <t>,</t>
  </si>
  <si>
    <t>Avenida Guararapes - Barracas</t>
  </si>
  <si>
    <t>A1=1,03x5,84</t>
  </si>
  <si>
    <t>A2=6,93 (medida no autocad)</t>
  </si>
  <si>
    <t>A3=2,86x0,89</t>
  </si>
  <si>
    <t>A4=2,81x1,65</t>
  </si>
  <si>
    <t xml:space="preserve">A5=5,74x0,80 </t>
  </si>
  <si>
    <t>A6=7,13 (medida no autocad)</t>
  </si>
  <si>
    <t>Rua do do Imperador Dom Pedro I</t>
  </si>
  <si>
    <t>C1=13,69+5,67+28,65+8,33</t>
  </si>
  <si>
    <t>C2=0,50+4,00+0,50</t>
  </si>
  <si>
    <t>C1=1,76+3,02+0,98+2,35+4,89+4,90+4,71</t>
  </si>
  <si>
    <t>C2=1,95+0,70+5,00+0,70+2,06+2,71+5,30+3,96+0,49</t>
  </si>
  <si>
    <t>C2=4,73+2,23+4,99+5,77+5,55+0,50+7,47+4,80+5,97+2,41+4,22+10,03+7,30+4,44+2,99+0,29+1,20+1,12+4,13+10,44</t>
  </si>
  <si>
    <t>C3=1,70+1,51+1,87+3,1,13+1,36+18,95+2,03+1,00+0,82+1,49+6,46</t>
  </si>
  <si>
    <t>C4=2,09+3,86+1,64+18,11+3,33+1,11+0,56</t>
  </si>
  <si>
    <t>A1=6,01 (medida no autocad)</t>
  </si>
  <si>
    <t>A2=19,29x2,13</t>
  </si>
  <si>
    <t>A3=5,13 medida no autocad)</t>
  </si>
  <si>
    <t xml:space="preserve">Avenida Rio Capibaribe </t>
  </si>
  <si>
    <t>SINAPI/AGO 2013</t>
  </si>
  <si>
    <t>T-01A/T-01B</t>
  </si>
  <si>
    <t>T-03</t>
  </si>
  <si>
    <t>T-06</t>
  </si>
  <si>
    <t>T-11A/T11-B/T11-D</t>
  </si>
  <si>
    <t>T-11C</t>
  </si>
  <si>
    <t>T-12A/12B/12C/12D/13A/13B</t>
  </si>
  <si>
    <t>CALÇADA ENTRE RUA NOVA/RUA DO SOL</t>
  </si>
  <si>
    <t>CANTEIRO RUA NOVA/RUA DAS FLORES</t>
  </si>
  <si>
    <t>RUA DO SOL</t>
  </si>
  <si>
    <t>T16/T17/T18/T19</t>
  </si>
  <si>
    <t>T21</t>
  </si>
  <si>
    <t>T20A</t>
  </si>
  <si>
    <t>T20B</t>
  </si>
  <si>
    <t>Meio-fio de pedra granítica.</t>
  </si>
  <si>
    <t>Comprimento medido no cad</t>
  </si>
  <si>
    <t>T01A/T01B</t>
  </si>
  <si>
    <t>T03</t>
  </si>
  <si>
    <t>T8A/8B</t>
  </si>
  <si>
    <t>T09</t>
  </si>
  <si>
    <t>T11</t>
  </si>
  <si>
    <t>T12</t>
  </si>
  <si>
    <t xml:space="preserve">Calçadas Rua Nova/Rua do Sol </t>
  </si>
  <si>
    <t>Canteiro Rua Nova/Rua das Flores</t>
  </si>
  <si>
    <t>T18</t>
  </si>
  <si>
    <t>Reparos ao longo dos passeios</t>
  </si>
  <si>
    <t>73965/010</t>
  </si>
  <si>
    <t>Escavaçao manual de vala em material de 1A categoria ate 1,5m excluindo esgotamento/escoramento</t>
  </si>
  <si>
    <t>m³</t>
  </si>
  <si>
    <t>Áreas de intervenção em pisos de passeios e vias.</t>
  </si>
  <si>
    <t>73904/001</t>
  </si>
  <si>
    <t>Aterro apiloado(manual) em camadas de 20 cm . ( Calçadas projetadas)</t>
  </si>
  <si>
    <t>73907/003</t>
  </si>
  <si>
    <t>Contrapiso/Lastro de concreto 1:3:6 s/betoneira espessura - 5cm</t>
  </si>
  <si>
    <t>Áreas de intervenção em pisos de passeios.</t>
  </si>
  <si>
    <t>m2</t>
  </si>
  <si>
    <t>20.09.021</t>
  </si>
  <si>
    <t xml:space="preserve">Fornecimento e assentamento de meio-fio  de concreto pre moldado para jardim, dimensoes (1.00 x 0.20 x 0.075)m, rejuntado com argamassa de cimento e areia 1 2.
</t>
  </si>
  <si>
    <t>EMLURB 2013</t>
  </si>
  <si>
    <t>CP-03</t>
  </si>
  <si>
    <t>DNIT</t>
  </si>
  <si>
    <t>Pintura setas e zebrado - tinta b.acrílica -2 anos.</t>
  </si>
  <si>
    <t>Faixas e Sinalizações horizontais</t>
  </si>
  <si>
    <t>Medidos da Planta  - AutoCad(área de Gradil)</t>
  </si>
  <si>
    <t>Tombamento mecânico de árvore</t>
  </si>
  <si>
    <t>03.02.060</t>
  </si>
  <si>
    <t>Plantio de árvore.</t>
  </si>
  <si>
    <t>4 S 06 200 02</t>
  </si>
  <si>
    <t xml:space="preserve">EMBUTIMENTO DE DRENAGEM </t>
  </si>
  <si>
    <t>04.03.030</t>
  </si>
  <si>
    <t xml:space="preserve">Remocao de material de primeira categoria em caminhao carroceria, d.m.t. 20 km, inclusive carga e descarga manuais
</t>
  </si>
  <si>
    <t>EMLURB/JULHO 2013</t>
  </si>
  <si>
    <t>06.03.140</t>
  </si>
  <si>
    <t xml:space="preserve">Concreto armado pronto, fck 15 mpa,condicao b (nbr-12655),lancado em qualquer tipo de estrutura e adensado, inclusive forma, escoramento e ferragem.
</t>
  </si>
  <si>
    <t>06.03.110</t>
  </si>
  <si>
    <t xml:space="preserve">Concreto armado pronto, fck 15 mpa,condicao b (nbr-12655), lancado em lajes e adensado, inclusive forma, escoramento e ferragem.
</t>
  </si>
  <si>
    <t>TOTAL COM EMPOLAMENTO DE 30%</t>
  </si>
  <si>
    <t>Demolição de frade em concreto armado</t>
  </si>
  <si>
    <t>CP-01</t>
  </si>
  <si>
    <t>ÁREA PRÓXIMA AS TRAVESSIAS(medida no cad)</t>
  </si>
  <si>
    <t>20.02.010</t>
  </si>
  <si>
    <t xml:space="preserve">Execucao de sub-base estabilizada granulometricamente.
</t>
  </si>
  <si>
    <t>EMLURB /2013</t>
  </si>
  <si>
    <t>17.01.170</t>
  </si>
  <si>
    <t xml:space="preserve">Passeio em bloco de cimento intertravado tip paver ou sim. fck minimo 30 mpa com pigmento natural, dim.(0,20 x 0,10 x 0,06)m, assentado sobre colchao de areia com 6cm de espessura e rejuntado com areia fina com uso de placa vibratoria
</t>
  </si>
  <si>
    <t>T11-A/T11-B/T11-D/T11-C/CANTEIRO RUA NOVA-RUA DAS FLORES/RUA DO SOL/RUA FLORIANO PEIXOTO.</t>
  </si>
  <si>
    <t>Demoliçao de esquadria de madeira ou metálica(GRADIL).</t>
  </si>
  <si>
    <t>Tobias Barreto/Floriano Peixoto</t>
  </si>
  <si>
    <t>17.01.145</t>
  </si>
  <si>
    <t xml:space="preserve">Revestimento com pedras graniticas de dimensoes medias (0,45 x 0,45 x 0,05) m e com uma superficie plana (nao trabalhada), assentadas e rejuntadas com argamassa de cimento e areia no traco 1:6.
</t>
  </si>
  <si>
    <t>Calçada-Rua Floriano Peixoto/Tobias Barreto</t>
  </si>
  <si>
    <t xml:space="preserve">Poste de concreto duplo t h=9m carga nominal 150kg inclusive escavacao, exclusive transporte - fornecimento e instalacao
</t>
  </si>
  <si>
    <t>Rua do Sol</t>
  </si>
  <si>
    <t>CP-02</t>
  </si>
  <si>
    <t>T11-A/11B/11-D</t>
  </si>
  <si>
    <t>Rua Seis</t>
  </si>
  <si>
    <t>A1=105,40m2</t>
  </si>
  <si>
    <t>A2=23,17m2</t>
  </si>
  <si>
    <t>04.02.160</t>
  </si>
  <si>
    <t xml:space="preserve">Transporte com carro de mao de areia, entu- 
lho ou terra ate 100m.
</t>
  </si>
  <si>
    <t>73923/001</t>
  </si>
  <si>
    <t xml:space="preserve">Piso cimentado rustico traco 1:4 (cimento e areia), espessura 2,0cm, preparo manual
</t>
  </si>
  <si>
    <t>03.01.280</t>
  </si>
  <si>
    <t>1.17</t>
  </si>
  <si>
    <t>03.01.110</t>
  </si>
  <si>
    <t>Remoção de placa de sinalização</t>
  </si>
  <si>
    <t>CP-04</t>
  </si>
  <si>
    <t>Demolição de piso em paralelepípedo.</t>
  </si>
  <si>
    <t>Demolição de piso em paralelo.</t>
  </si>
  <si>
    <t>Demolição de frade em concreto armado.</t>
  </si>
  <si>
    <t>Código</t>
  </si>
  <si>
    <t xml:space="preserve">Discriminação: </t>
  </si>
  <si>
    <t xml:space="preserve">REMOÇÃO DE PLACA DE SINALIZAÇÃO </t>
  </si>
  <si>
    <t>Unidade</t>
  </si>
  <si>
    <t>Preço Unitário Custo</t>
  </si>
  <si>
    <t>Quantidade</t>
  </si>
  <si>
    <t>BDI</t>
  </si>
  <si>
    <t>%</t>
  </si>
  <si>
    <t>Preço Unitário Venda</t>
  </si>
  <si>
    <t>Composição</t>
  </si>
  <si>
    <t>Preço 
Unitário</t>
  </si>
  <si>
    <t>Coef.</t>
  </si>
  <si>
    <t>Preço
Total</t>
  </si>
  <si>
    <t>MATERIAIS</t>
  </si>
  <si>
    <t>Total
Material</t>
  </si>
  <si>
    <t>MÃO DE OBRA DIARISTA</t>
  </si>
  <si>
    <t>Servente</t>
  </si>
  <si>
    <t>H</t>
  </si>
  <si>
    <t>Total
M.O</t>
  </si>
  <si>
    <t>Total</t>
  </si>
  <si>
    <t>Discriminação:</t>
  </si>
  <si>
    <t>DEMOLICAO DE PISO EM BLOCOS INTERTRAVADO DE CONCRETO.</t>
  </si>
  <si>
    <t>MÃO DE OBRA DIARISTA COM IMPOSTOS</t>
  </si>
  <si>
    <t>Pedreiro</t>
  </si>
  <si>
    <t xml:space="preserve">Descrição: </t>
  </si>
  <si>
    <t>RETIRADA DE POSTE DE CONCRETO, FIXADO NO SOLO SEM REMOÇÃO.</t>
  </si>
  <si>
    <t>EQUIPAMENTOS</t>
  </si>
  <si>
    <t>GUINCHO TIPO MUNCK CAP * 5T * MONTADO EM CAMINHAO CARROCERIA ,OU EQUIV</t>
  </si>
  <si>
    <t xml:space="preserve">Total
Equip </t>
  </si>
  <si>
    <t>MOTORISTA OPERADOR DE MUNCK</t>
  </si>
  <si>
    <t>SERVENTE</t>
  </si>
  <si>
    <t xml:space="preserve">DEMOLIÇÃO DE PARADAS DE ONIBUS EM CONCRETO ESTRUTURAL </t>
  </si>
  <si>
    <t>h</t>
  </si>
  <si>
    <t>TRANSPORTE DE POSTE, PARA UMA DISTÂNCIA MÉDIA DE 2KM</t>
  </si>
  <si>
    <t xml:space="preserve">Guincho tipo munck cap * 5t * montado em caminhao carroceria ,ou equiv </t>
  </si>
  <si>
    <t>Motorista operador de munck</t>
  </si>
  <si>
    <t>COMPOSIÇÕES DE PREÇO</t>
  </si>
  <si>
    <t xml:space="preserve">ORLA DE BOA VIAGEM </t>
  </si>
  <si>
    <t>C/BDI</t>
  </si>
  <si>
    <t>2.8</t>
  </si>
  <si>
    <t>2.9</t>
  </si>
  <si>
    <t>2.10</t>
  </si>
  <si>
    <t>2.11</t>
  </si>
  <si>
    <t>2.13</t>
  </si>
  <si>
    <t>2.14</t>
  </si>
  <si>
    <t>2.15</t>
  </si>
  <si>
    <t>2.16</t>
  </si>
  <si>
    <t>2.17</t>
  </si>
  <si>
    <t>2.18</t>
  </si>
  <si>
    <t>CP-08</t>
  </si>
  <si>
    <t>FORNECIMENTO E ASSENTAMENTO DE FRADE EM CONCRETO ARMADO (CONCRETISA OU SIMILAR) COM DIÂMETRO DE 0,40 CM E ALTURA DE 0,40.</t>
  </si>
  <si>
    <t>Concretisa</t>
  </si>
  <si>
    <t>Frade em concreto pré- moldado 0,20  de diâmetro e  0,50 de altura. ( Concretisa ou similar)</t>
  </si>
  <si>
    <t xml:space="preserve">Total
Equip. </t>
  </si>
  <si>
    <t>RELOCAÇÃO  DE CAIXAS DE INSPEÇÃO LOCALIZADAS NO PASSEIO.</t>
  </si>
  <si>
    <t xml:space="preserve">UND </t>
  </si>
  <si>
    <t xml:space="preserve">73899/001 </t>
  </si>
  <si>
    <t>Demolicao de alvenaria de tijolos macicos s/reaproveitamento</t>
  </si>
  <si>
    <t>Aterro interno sem apiloamento com transporte em carrinho de mao</t>
  </si>
  <si>
    <t xml:space="preserve">Carga manual e remocao e entulho com transporte ate 1km em caminhao basculante 8 m3
</t>
  </si>
  <si>
    <t>74166/001</t>
  </si>
  <si>
    <t xml:space="preserve">Caixa de inspeção em concreto pré-moldado dn 60mm com tampa h= 60cm fornecimento e instalacao
</t>
  </si>
  <si>
    <t xml:space="preserve">und </t>
  </si>
  <si>
    <t>73964/006</t>
  </si>
  <si>
    <t>Reaterro manual de valas</t>
  </si>
  <si>
    <t xml:space="preserve">Carga manual e remocao e entulho com transporte ate 1km em caminhao ba sculante 8 m3
</t>
  </si>
  <si>
    <t xml:space="preserve">m³ </t>
  </si>
  <si>
    <t>CP-07</t>
  </si>
  <si>
    <t>EXECUÇÃO DE PISO TATIL DIRECIONAL OU ALERTA, APLICAÇÃO E MAO-DE-OBRA.</t>
  </si>
  <si>
    <t>PREMOFORTE/FÁBRICA DO FORTE</t>
  </si>
  <si>
    <t>Piso tatil direcional ou alerta, com dimensoes  (0,25X0,25m)</t>
  </si>
  <si>
    <t>Argamassa TRAÇO 1:3</t>
  </si>
  <si>
    <t>PRAÇA DA REPUBLICA - ESTAÇÃO CENTRAL-ROTA 02</t>
  </si>
  <si>
    <t>3.0</t>
  </si>
  <si>
    <t>3.2</t>
  </si>
  <si>
    <t>3.4</t>
  </si>
  <si>
    <t>3.5</t>
  </si>
  <si>
    <t xml:space="preserve">MATERIAL DA ESCAVAÇÃO </t>
  </si>
  <si>
    <t>CP-05</t>
  </si>
  <si>
    <t>Fornecimento e instalação de placa de sinalização totalmente refletiva.</t>
  </si>
  <si>
    <t>Concreto Armado.</t>
  </si>
  <si>
    <t>Grama batatais em placa, inclusive preparo do solo.</t>
  </si>
  <si>
    <t>Piso em pedra portuguesa 60% branca 40% preta, assentada em argamassa  traco 1:5 (cimento e saibro), incluso acerto do terreno.</t>
  </si>
  <si>
    <t>73967/002</t>
  </si>
  <si>
    <t>74223/002</t>
  </si>
  <si>
    <t>OBS:BDI de 24,23 %, fornecido pela Secretaria de Turismo - SETUR (Ver composição no relatório),exceto o item 3.2(CBUQ), cujo BDI é de 15%.</t>
  </si>
  <si>
    <r>
      <rPr>
        <b/>
        <sz val="11"/>
        <rFont val="Arial"/>
        <family val="2"/>
      </rPr>
      <t xml:space="preserve">Projeto de Acessibilidade </t>
    </r>
    <r>
      <rPr>
        <b/>
        <sz val="12"/>
        <rFont val="Arial"/>
        <family val="2"/>
      </rPr>
      <t xml:space="preserve">
</t>
    </r>
    <r>
      <rPr>
        <sz val="11"/>
        <rFont val="Arial"/>
        <family val="2"/>
      </rPr>
      <t>Orçamento e Cronograma Físico da Obra</t>
    </r>
  </si>
  <si>
    <t xml:space="preserve">PROJETOS DE ACESSIBILIDADE </t>
  </si>
  <si>
    <t xml:space="preserve">SETUR - Secretaria de Turismo </t>
  </si>
  <si>
    <t>VALOR</t>
  </si>
  <si>
    <t>CRONOGRAMA FÍSICO - FINANCEIRO</t>
  </si>
  <si>
    <t xml:space="preserve">Valor total da obra </t>
  </si>
  <si>
    <t>TOTAL               (R$)</t>
  </si>
  <si>
    <t>M E S E S</t>
  </si>
  <si>
    <t>1o</t>
  </si>
  <si>
    <t>2o</t>
  </si>
  <si>
    <t>3o</t>
  </si>
  <si>
    <t>4o</t>
  </si>
  <si>
    <t>V. Parcial</t>
  </si>
  <si>
    <t>V. Acumulado</t>
  </si>
  <si>
    <t>%Parcial</t>
  </si>
  <si>
    <t>%Acumulado</t>
  </si>
  <si>
    <t>Rua Floriano Peixoto</t>
  </si>
  <si>
    <t>03.03.045</t>
  </si>
  <si>
    <t xml:space="preserve">Fornecimento e montagem de tela de sinalizacao laranja(h=1,2m) fixada em montan tes  de ferro de 1/2 pol. ou em barrotes de  madeira 3x3 pol. colocados sobre base de concreto traco 1:4:8 , espacados a cada 2 m, inclusive posterior retirada e reaproveitamento.
</t>
  </si>
  <si>
    <t>04.03.180</t>
  </si>
  <si>
    <t>Remocao de metralha em caminhao basculante, d.m.t 12 km, inclusive carga e descarga mecanica.</t>
  </si>
  <si>
    <t>04.03.080</t>
  </si>
  <si>
    <t xml:space="preserve">73790/004 </t>
  </si>
  <si>
    <t>Reassentamento de paralelepípedo, sobre colchão de pó de pedra, espessura de 10 cm, rejuntado com argamassa 1:3(cimento e areia), considerando o reaproveitamento da pedra.</t>
  </si>
  <si>
    <t xml:space="preserve">Remocao de material de primeira categoria em caminhao carroceria, d.m.t. 12 km, inclusive carga e descarga mecânicas.
</t>
  </si>
  <si>
    <t>4 S 06 100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</si>
</sst>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??_);_(@_)"/>
    <numFmt numFmtId="166" formatCode="#,##0.00;[Red]#,##0.00"/>
    <numFmt numFmtId="167" formatCode="0000"/>
    <numFmt numFmtId="168" formatCode="_(&quot;R$&quot;* #,##0.00_);_(&quot;R$&quot;* \(#,##0.00\);_(&quot;R$&quot;* &quot;-&quot;??_);_(@_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4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0" borderId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/>
  </cellStyleXfs>
  <cellXfs count="653">
    <xf numFmtId="0" fontId="0" fillId="0" borderId="0" xfId="0"/>
    <xf numFmtId="0" fontId="1" fillId="0" borderId="0" xfId="1"/>
    <xf numFmtId="0" fontId="7" fillId="0" borderId="0" xfId="5" applyFont="1" applyFill="1" applyAlignment="1">
      <alignment horizontal="center" vertical="top" wrapText="1"/>
    </xf>
    <xf numFmtId="0" fontId="2" fillId="5" borderId="1" xfId="3" applyFont="1" applyFill="1" applyBorder="1" applyAlignment="1">
      <alignment horizontal="center" vertical="top"/>
    </xf>
    <xf numFmtId="0" fontId="2" fillId="5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left" vertical="center"/>
    </xf>
    <xf numFmtId="0" fontId="2" fillId="5" borderId="1" xfId="3" applyFont="1" applyFill="1" applyBorder="1" applyAlignment="1">
      <alignment horizontal="center"/>
    </xf>
    <xf numFmtId="0" fontId="2" fillId="4" borderId="1" xfId="3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right" vertical="center"/>
    </xf>
    <xf numFmtId="164" fontId="8" fillId="0" borderId="0" xfId="9" applyFont="1" applyBorder="1" applyAlignment="1">
      <alignment horizontal="right" vertical="center"/>
    </xf>
    <xf numFmtId="0" fontId="4" fillId="0" borderId="0" xfId="2" applyFont="1" applyFill="1" applyAlignment="1">
      <alignment horizontal="right" vertical="center"/>
    </xf>
    <xf numFmtId="0" fontId="1" fillId="0" borderId="0" xfId="3" applyFont="1" applyAlignment="1">
      <alignment horizontal="right" vertical="center"/>
    </xf>
    <xf numFmtId="0" fontId="2" fillId="5" borderId="1" xfId="26" applyFont="1" applyFill="1" applyBorder="1" applyAlignment="1">
      <alignment horizontal="center" vertical="center"/>
    </xf>
    <xf numFmtId="0" fontId="2" fillId="5" borderId="1" xfId="26" applyFont="1" applyFill="1" applyBorder="1" applyAlignment="1">
      <alignment horizontal="left" vertical="center"/>
    </xf>
    <xf numFmtId="0" fontId="2" fillId="5" borderId="1" xfId="26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left" vertical="center"/>
    </xf>
    <xf numFmtId="0" fontId="2" fillId="4" borderId="1" xfId="2" applyFont="1" applyFill="1" applyBorder="1" applyAlignment="1">
      <alignment horizontal="center"/>
    </xf>
    <xf numFmtId="0" fontId="2" fillId="5" borderId="1" xfId="3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top"/>
    </xf>
    <xf numFmtId="0" fontId="8" fillId="3" borderId="1" xfId="36" applyFont="1" applyFill="1" applyBorder="1" applyAlignment="1">
      <alignment horizontal="center" vertical="center" wrapText="1"/>
    </xf>
    <xf numFmtId="0" fontId="8" fillId="3" borderId="1" xfId="36" applyNumberFormat="1" applyFont="1" applyFill="1" applyBorder="1" applyAlignment="1">
      <alignment horizontal="center"/>
    </xf>
    <xf numFmtId="0" fontId="8" fillId="3" borderId="1" xfId="36" applyFont="1" applyFill="1" applyBorder="1" applyAlignment="1">
      <alignment horizontal="center"/>
    </xf>
    <xf numFmtId="39" fontId="8" fillId="3" borderId="1" xfId="36" applyNumberFormat="1" applyFont="1" applyFill="1" applyBorder="1" applyAlignment="1">
      <alignment horizontal="center"/>
    </xf>
    <xf numFmtId="2" fontId="8" fillId="3" borderId="1" xfId="36" applyNumberFormat="1" applyFont="1" applyFill="1" applyBorder="1" applyAlignment="1">
      <alignment horizontal="center" vertical="center"/>
    </xf>
    <xf numFmtId="0" fontId="8" fillId="0" borderId="1" xfId="6" applyNumberFormat="1" applyFont="1" applyFill="1" applyBorder="1" applyAlignment="1" applyProtection="1">
      <alignment horizontal="center" vertical="center" wrapText="1"/>
    </xf>
    <xf numFmtId="164" fontId="7" fillId="0" borderId="1" xfId="37" applyFont="1" applyFill="1" applyBorder="1" applyAlignment="1">
      <alignment horizontal="right"/>
    </xf>
    <xf numFmtId="0" fontId="10" fillId="0" borderId="1" xfId="2" applyFont="1" applyBorder="1" applyAlignment="1">
      <alignment horizontal="left" vertical="top" wrapText="1"/>
    </xf>
    <xf numFmtId="164" fontId="7" fillId="0" borderId="1" xfId="37" applyFont="1" applyFill="1" applyBorder="1" applyAlignment="1">
      <alignment horizontal="center" vertical="center" wrapText="1"/>
    </xf>
    <xf numFmtId="0" fontId="8" fillId="0" borderId="1" xfId="36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left" vertical="center" wrapText="1"/>
    </xf>
    <xf numFmtId="164" fontId="8" fillId="3" borderId="1" xfId="37" applyFont="1" applyFill="1" applyBorder="1" applyAlignment="1">
      <alignment horizontal="center" vertical="center" wrapText="1"/>
    </xf>
    <xf numFmtId="164" fontId="7" fillId="3" borderId="1" xfId="37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 applyProtection="1">
      <alignment horizontal="left" vertical="center" wrapText="1"/>
    </xf>
    <xf numFmtId="4" fontId="7" fillId="0" borderId="1" xfId="2" applyNumberFormat="1" applyFont="1" applyBorder="1" applyAlignment="1">
      <alignment horizontal="center" wrapText="1"/>
    </xf>
    <xf numFmtId="4" fontId="7" fillId="0" borderId="1" xfId="2" applyNumberFormat="1" applyFont="1" applyBorder="1" applyAlignment="1">
      <alignment horizontal="right" wrapText="1"/>
    </xf>
    <xf numFmtId="4" fontId="7" fillId="0" borderId="1" xfId="2" applyNumberFormat="1" applyFont="1" applyFill="1" applyBorder="1" applyAlignment="1">
      <alignment horizontal="right" wrapText="1"/>
    </xf>
    <xf numFmtId="4" fontId="7" fillId="0" borderId="1" xfId="37" applyNumberFormat="1" applyFont="1" applyFill="1" applyBorder="1" applyAlignment="1">
      <alignment horizontal="right" wrapText="1"/>
    </xf>
    <xf numFmtId="164" fontId="7" fillId="0" borderId="1" xfId="37" applyFont="1" applyFill="1" applyBorder="1" applyAlignment="1">
      <alignment horizontal="center"/>
    </xf>
    <xf numFmtId="0" fontId="7" fillId="0" borderId="1" xfId="36" applyFont="1" applyFill="1" applyBorder="1" applyAlignment="1">
      <alignment horizontal="center" wrapText="1"/>
    </xf>
    <xf numFmtId="0" fontId="10" fillId="0" borderId="1" xfId="2" applyFont="1" applyFill="1" applyBorder="1" applyAlignment="1">
      <alignment horizontal="center"/>
    </xf>
    <xf numFmtId="164" fontId="7" fillId="0" borderId="1" xfId="37" applyFont="1" applyBorder="1" applyAlignment="1">
      <alignment horizontal="right"/>
    </xf>
    <xf numFmtId="164" fontId="7" fillId="0" borderId="1" xfId="37" applyFont="1" applyBorder="1" applyAlignment="1">
      <alignment horizontal="center"/>
    </xf>
    <xf numFmtId="0" fontId="10" fillId="0" borderId="1" xfId="2" applyFont="1" applyFill="1" applyBorder="1" applyAlignment="1">
      <alignment horizontal="justify" vertical="top" wrapText="1"/>
    </xf>
    <xf numFmtId="164" fontId="8" fillId="0" borderId="1" xfId="37" applyFont="1" applyFill="1" applyBorder="1" applyAlignment="1">
      <alignment horizontal="center"/>
    </xf>
    <xf numFmtId="164" fontId="8" fillId="0" borderId="1" xfId="37" applyFont="1" applyFill="1" applyBorder="1" applyAlignment="1">
      <alignment horizontal="right"/>
    </xf>
    <xf numFmtId="0" fontId="8" fillId="0" borderId="1" xfId="2" applyFont="1" applyFill="1" applyBorder="1" applyAlignment="1">
      <alignment horizontal="left" vertical="center" wrapText="1"/>
    </xf>
    <xf numFmtId="164" fontId="8" fillId="0" borderId="1" xfId="37" applyFont="1" applyFill="1" applyBorder="1" applyAlignment="1">
      <alignment horizontal="center" vertical="center" wrapText="1"/>
    </xf>
    <xf numFmtId="0" fontId="8" fillId="0" borderId="1" xfId="36" applyFont="1" applyFill="1" applyBorder="1" applyAlignment="1">
      <alignment horizontal="center"/>
    </xf>
    <xf numFmtId="164" fontId="7" fillId="0" borderId="1" xfId="37" applyFont="1" applyBorder="1" applyAlignment="1"/>
    <xf numFmtId="0" fontId="0" fillId="0" borderId="11" xfId="0" applyBorder="1"/>
    <xf numFmtId="164" fontId="0" fillId="0" borderId="0" xfId="0" applyNumberFormat="1"/>
    <xf numFmtId="0" fontId="0" fillId="6" borderId="0" xfId="0" applyFill="1"/>
    <xf numFmtId="0" fontId="1" fillId="6" borderId="1" xfId="5" applyFont="1" applyFill="1" applyBorder="1" applyAlignment="1">
      <alignment horizontal="center" vertical="center"/>
    </xf>
    <xf numFmtId="0" fontId="4" fillId="6" borderId="1" xfId="12" applyFont="1" applyFill="1" applyBorder="1" applyAlignment="1">
      <alignment horizontal="justify" vertical="center" wrapText="1"/>
    </xf>
    <xf numFmtId="0" fontId="1" fillId="6" borderId="1" xfId="6" applyFont="1" applyFill="1" applyBorder="1" applyAlignment="1">
      <alignment horizontal="left" vertical="center" wrapText="1"/>
    </xf>
    <xf numFmtId="0" fontId="0" fillId="0" borderId="1" xfId="0" applyBorder="1"/>
    <xf numFmtId="0" fontId="8" fillId="6" borderId="1" xfId="6" applyNumberFormat="1" applyFont="1" applyFill="1" applyBorder="1" applyAlignment="1" applyProtection="1">
      <alignment horizontal="center" vertical="center" wrapText="1"/>
    </xf>
    <xf numFmtId="0" fontId="8" fillId="6" borderId="1" xfId="2" applyFont="1" applyFill="1" applyBorder="1" applyAlignment="1">
      <alignment horizontal="left" vertical="center" wrapText="1"/>
    </xf>
    <xf numFmtId="164" fontId="8" fillId="6" borderId="1" xfId="37" applyFont="1" applyFill="1" applyBorder="1" applyAlignment="1">
      <alignment horizontal="center" vertical="center" wrapText="1"/>
    </xf>
    <xf numFmtId="164" fontId="7" fillId="6" borderId="1" xfId="37" applyFont="1" applyFill="1" applyBorder="1" applyAlignment="1">
      <alignment horizontal="center" vertical="center" wrapText="1"/>
    </xf>
    <xf numFmtId="0" fontId="8" fillId="6" borderId="1" xfId="36" applyFont="1" applyFill="1" applyBorder="1" applyAlignment="1">
      <alignment horizontal="center" vertical="center" wrapText="1"/>
    </xf>
    <xf numFmtId="164" fontId="1" fillId="6" borderId="1" xfId="5" applyNumberFormat="1" applyFont="1" applyFill="1" applyBorder="1" applyAlignment="1">
      <alignment horizontal="center" vertical="center"/>
    </xf>
    <xf numFmtId="0" fontId="7" fillId="0" borderId="1" xfId="6" applyNumberFormat="1" applyFont="1" applyFill="1" applyBorder="1" applyAlignment="1" applyProtection="1">
      <alignment horizontal="center" vertical="center" wrapText="1"/>
    </xf>
    <xf numFmtId="0" fontId="11" fillId="0" borderId="1" xfId="2" applyFont="1" applyBorder="1" applyAlignment="1">
      <alignment horizontal="left" vertical="top" wrapText="1"/>
    </xf>
    <xf numFmtId="164" fontId="2" fillId="4" borderId="1" xfId="2" applyNumberFormat="1" applyFont="1" applyFill="1" applyBorder="1" applyAlignment="1">
      <alignment horizontal="center" vertical="center"/>
    </xf>
    <xf numFmtId="0" fontId="1" fillId="6" borderId="1" xfId="5" applyNumberFormat="1" applyFont="1" applyFill="1" applyBorder="1" applyAlignment="1">
      <alignment horizontal="center" vertical="center"/>
    </xf>
    <xf numFmtId="164" fontId="1" fillId="6" borderId="1" xfId="5" applyNumberFormat="1" applyFont="1" applyFill="1" applyBorder="1" applyAlignment="1">
      <alignment horizontal="center" vertical="center" wrapText="1"/>
    </xf>
    <xf numFmtId="164" fontId="0" fillId="6" borderId="0" xfId="0" applyNumberFormat="1" applyFill="1"/>
    <xf numFmtId="0" fontId="1" fillId="6" borderId="2" xfId="2" applyFont="1" applyFill="1" applyBorder="1" applyAlignment="1">
      <alignment horizontal="center" vertical="center"/>
    </xf>
    <xf numFmtId="164" fontId="4" fillId="6" borderId="1" xfId="8" applyFont="1" applyFill="1" applyBorder="1" applyAlignment="1">
      <alignment horizontal="center" vertical="center"/>
    </xf>
    <xf numFmtId="164" fontId="4" fillId="6" borderId="7" xfId="27" applyFont="1" applyFill="1" applyBorder="1" applyAlignment="1">
      <alignment horizontal="center" vertical="center"/>
    </xf>
    <xf numFmtId="0" fontId="1" fillId="6" borderId="1" xfId="2" applyFont="1" applyFill="1" applyBorder="1" applyAlignment="1">
      <alignment vertical="center" wrapText="1"/>
    </xf>
    <xf numFmtId="0" fontId="8" fillId="6" borderId="1" xfId="36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3" fontId="13" fillId="0" borderId="1" xfId="39" applyNumberFormat="1" applyFont="1" applyBorder="1" applyAlignment="1">
      <alignment horizontal="center" vertical="center" wrapText="1"/>
    </xf>
    <xf numFmtId="0" fontId="13" fillId="0" borderId="1" xfId="40" applyFont="1" applyBorder="1" applyAlignment="1">
      <alignment horizontal="center" vertical="center" wrapText="1"/>
    </xf>
    <xf numFmtId="0" fontId="10" fillId="6" borderId="1" xfId="2" applyFont="1" applyFill="1" applyBorder="1" applyAlignment="1">
      <alignment horizontal="left" vertical="top" wrapText="1"/>
    </xf>
    <xf numFmtId="164" fontId="7" fillId="6" borderId="1" xfId="37" applyFont="1" applyFill="1" applyBorder="1" applyAlignment="1">
      <alignment horizontal="right"/>
    </xf>
    <xf numFmtId="0" fontId="1" fillId="5" borderId="1" xfId="26" applyFont="1" applyFill="1" applyBorder="1" applyAlignment="1">
      <alignment horizontal="center" vertical="center"/>
    </xf>
    <xf numFmtId="0" fontId="2" fillId="5" borderId="0" xfId="26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8" fillId="3" borderId="1" xfId="36" applyNumberFormat="1" applyFont="1" applyFill="1" applyBorder="1" applyAlignment="1">
      <alignment horizontal="center" vertical="center" wrapText="1"/>
    </xf>
    <xf numFmtId="0" fontId="1" fillId="6" borderId="1" xfId="5" applyFont="1" applyFill="1" applyBorder="1" applyAlignment="1">
      <alignment horizontal="center" vertical="center" wrapText="1"/>
    </xf>
    <xf numFmtId="0" fontId="4" fillId="6" borderId="1" xfId="12" applyFont="1" applyFill="1" applyBorder="1" applyAlignment="1">
      <alignment horizontal="center" vertical="center" wrapText="1"/>
    </xf>
    <xf numFmtId="0" fontId="1" fillId="6" borderId="1" xfId="26" applyFont="1" applyFill="1" applyBorder="1" applyAlignment="1">
      <alignment horizontal="center" vertical="center"/>
    </xf>
    <xf numFmtId="0" fontId="4" fillId="6" borderId="1" xfId="6" applyNumberFormat="1" applyFont="1" applyFill="1" applyBorder="1" applyAlignment="1">
      <alignment horizontal="left" vertical="justify" wrapText="1"/>
    </xf>
    <xf numFmtId="0" fontId="4" fillId="6" borderId="1" xfId="5" applyFont="1" applyFill="1" applyBorder="1" applyAlignment="1">
      <alignment horizontal="center" vertical="center" wrapText="1"/>
    </xf>
    <xf numFmtId="2" fontId="1" fillId="6" borderId="1" xfId="26" applyNumberFormat="1" applyFont="1" applyFill="1" applyBorder="1" applyAlignment="1">
      <alignment horizontal="center" vertical="center"/>
    </xf>
    <xf numFmtId="4" fontId="1" fillId="6" borderId="1" xfId="5" applyNumberFormat="1" applyFont="1" applyFill="1" applyBorder="1" applyAlignment="1">
      <alignment horizontal="left" vertical="center" wrapText="1"/>
    </xf>
    <xf numFmtId="164" fontId="4" fillId="6" borderId="1" xfId="8" applyFont="1" applyFill="1" applyBorder="1" applyAlignment="1">
      <alignment horizontal="center" vertical="center" wrapText="1"/>
    </xf>
    <xf numFmtId="49" fontId="1" fillId="6" borderId="1" xfId="5" applyNumberFormat="1" applyFont="1" applyFill="1" applyBorder="1" applyAlignment="1">
      <alignment horizontal="left" vertical="center" wrapText="1"/>
    </xf>
    <xf numFmtId="2" fontId="1" fillId="6" borderId="1" xfId="8" applyNumberFormat="1" applyFont="1" applyFill="1" applyBorder="1" applyAlignment="1">
      <alignment horizontal="right" vertical="center"/>
    </xf>
    <xf numFmtId="2" fontId="4" fillId="6" borderId="1" xfId="8" applyNumberFormat="1" applyFont="1" applyFill="1" applyBorder="1" applyAlignment="1">
      <alignment horizontal="right" vertical="center"/>
    </xf>
    <xf numFmtId="0" fontId="1" fillId="6" borderId="1" xfId="6" applyNumberFormat="1" applyFont="1" applyFill="1" applyBorder="1" applyAlignment="1" applyProtection="1">
      <alignment horizontal="left" vertical="center" wrapText="1"/>
    </xf>
    <xf numFmtId="164" fontId="1" fillId="6" borderId="1" xfId="2" applyNumberFormat="1" applyFont="1" applyFill="1" applyBorder="1" applyAlignment="1">
      <alignment horizontal="center" vertical="center"/>
    </xf>
    <xf numFmtId="0" fontId="1" fillId="6" borderId="1" xfId="6" applyNumberFormat="1" applyFont="1" applyFill="1" applyBorder="1" applyAlignment="1" applyProtection="1">
      <alignment vertical="center" wrapText="1"/>
    </xf>
    <xf numFmtId="164" fontId="4" fillId="6" borderId="1" xfId="27" applyFont="1" applyFill="1" applyBorder="1" applyAlignment="1">
      <alignment horizontal="center" vertical="center"/>
    </xf>
    <xf numFmtId="0" fontId="1" fillId="6" borderId="1" xfId="6" applyNumberFormat="1" applyFont="1" applyFill="1" applyBorder="1" applyAlignment="1">
      <alignment vertical="center" wrapText="1"/>
    </xf>
    <xf numFmtId="164" fontId="4" fillId="6" borderId="1" xfId="8" applyFont="1" applyFill="1" applyBorder="1" applyAlignment="1">
      <alignment vertical="center" wrapText="1"/>
    </xf>
    <xf numFmtId="165" fontId="1" fillId="6" borderId="2" xfId="8" applyNumberFormat="1" applyFont="1" applyFill="1" applyBorder="1" applyAlignment="1">
      <alignment horizontal="center" vertical="center" wrapText="1"/>
    </xf>
    <xf numFmtId="164" fontId="1" fillId="6" borderId="1" xfId="8" applyFont="1" applyFill="1" applyBorder="1" applyAlignment="1">
      <alignment vertical="center" wrapText="1"/>
    </xf>
    <xf numFmtId="164" fontId="1" fillId="6" borderId="1" xfId="28" applyFont="1" applyFill="1" applyBorder="1" applyAlignment="1">
      <alignment horizontal="center" vertical="center"/>
    </xf>
    <xf numFmtId="0" fontId="1" fillId="6" borderId="1" xfId="42" applyNumberFormat="1" applyFont="1" applyFill="1" applyBorder="1" applyAlignment="1">
      <alignment horizontal="left" vertical="justify" wrapText="1"/>
    </xf>
    <xf numFmtId="49" fontId="1" fillId="6" borderId="1" xfId="42" applyNumberFormat="1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4" fillId="6" borderId="1" xfId="6" applyNumberFormat="1" applyFont="1" applyFill="1" applyBorder="1" applyAlignment="1">
      <alignment horizontal="left" vertical="center" wrapText="1"/>
    </xf>
    <xf numFmtId="4" fontId="1" fillId="6" borderId="1" xfId="6" applyNumberFormat="1" applyFont="1" applyFill="1" applyBorder="1" applyAlignment="1">
      <alignment horizontal="left" vertical="center" wrapText="1"/>
    </xf>
    <xf numFmtId="49" fontId="1" fillId="6" borderId="1" xfId="6" applyNumberFormat="1" applyFont="1" applyFill="1" applyBorder="1" applyAlignment="1">
      <alignment horizontal="left" vertical="center" wrapText="1"/>
    </xf>
    <xf numFmtId="0" fontId="1" fillId="6" borderId="1" xfId="6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right"/>
    </xf>
    <xf numFmtId="0" fontId="10" fillId="0" borderId="1" xfId="2" applyFont="1" applyFill="1" applyBorder="1" applyAlignment="1">
      <alignment horizontal="left" vertical="top" wrapText="1"/>
    </xf>
    <xf numFmtId="0" fontId="0" fillId="0" borderId="0" xfId="0" applyFill="1"/>
    <xf numFmtId="0" fontId="1" fillId="0" borderId="1" xfId="5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left" vertical="center" wrapText="1"/>
    </xf>
    <xf numFmtId="164" fontId="7" fillId="0" borderId="1" xfId="37" applyFont="1" applyFill="1" applyBorder="1" applyAlignment="1"/>
    <xf numFmtId="0" fontId="0" fillId="7" borderId="0" xfId="0" applyFill="1"/>
    <xf numFmtId="0" fontId="15" fillId="0" borderId="1" xfId="2" applyFont="1" applyFill="1" applyBorder="1" applyAlignment="1">
      <alignment horizontal="left" vertical="top" wrapText="1"/>
    </xf>
    <xf numFmtId="0" fontId="16" fillId="0" borderId="1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top" wrapText="1"/>
    </xf>
    <xf numFmtId="0" fontId="8" fillId="4" borderId="1" xfId="2" applyFont="1" applyFill="1" applyBorder="1" applyAlignment="1">
      <alignment horizontal="left" vertical="center" wrapText="1"/>
    </xf>
    <xf numFmtId="164" fontId="8" fillId="4" borderId="1" xfId="37" applyFont="1" applyFill="1" applyBorder="1" applyAlignment="1">
      <alignment horizontal="center" vertical="center" wrapText="1"/>
    </xf>
    <xf numFmtId="164" fontId="7" fillId="4" borderId="1" xfId="37" applyFont="1" applyFill="1" applyBorder="1" applyAlignment="1">
      <alignment horizontal="center" vertical="center" wrapText="1"/>
    </xf>
    <xf numFmtId="0" fontId="8" fillId="4" borderId="1" xfId="36" applyFont="1" applyFill="1" applyBorder="1" applyAlignment="1">
      <alignment horizontal="center" vertical="center" wrapText="1"/>
    </xf>
    <xf numFmtId="0" fontId="1" fillId="6" borderId="1" xfId="41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0" fontId="7" fillId="6" borderId="0" xfId="5" applyFont="1" applyFill="1" applyBorder="1" applyAlignment="1">
      <alignment horizontal="right" vertical="center"/>
    </xf>
    <xf numFmtId="164" fontId="1" fillId="6" borderId="1" xfId="8" applyFont="1" applyFill="1" applyBorder="1" applyAlignment="1">
      <alignment vertical="center"/>
    </xf>
    <xf numFmtId="0" fontId="1" fillId="6" borderId="1" xfId="26" applyFont="1" applyFill="1" applyBorder="1" applyAlignment="1">
      <alignment vertical="center" wrapText="1"/>
    </xf>
    <xf numFmtId="0" fontId="1" fillId="6" borderId="2" xfId="26" applyFont="1" applyFill="1" applyBorder="1" applyAlignment="1">
      <alignment horizontal="center" vertical="center"/>
    </xf>
    <xf numFmtId="164" fontId="1" fillId="6" borderId="1" xfId="27" applyFont="1" applyFill="1" applyBorder="1" applyAlignment="1">
      <alignment horizontal="right" vertical="center"/>
    </xf>
    <xf numFmtId="0" fontId="1" fillId="0" borderId="1" xfId="43" applyNumberFormat="1" applyFont="1" applyBorder="1" applyAlignment="1">
      <alignment horizontal="left" vertical="center" wrapText="1"/>
    </xf>
    <xf numFmtId="164" fontId="7" fillId="6" borderId="2" xfId="39" applyFont="1" applyFill="1" applyBorder="1" applyAlignment="1">
      <alignment vertical="center"/>
    </xf>
    <xf numFmtId="0" fontId="1" fillId="6" borderId="1" xfId="6" applyNumberFormat="1" applyFont="1" applyFill="1" applyBorder="1" applyAlignment="1">
      <alignment horizontal="justify" vertical="justify" wrapText="1"/>
    </xf>
    <xf numFmtId="164" fontId="1" fillId="6" borderId="1" xfId="8" applyFont="1" applyFill="1" applyBorder="1" applyAlignment="1">
      <alignment horizontal="right" vertical="center" wrapText="1"/>
    </xf>
    <xf numFmtId="2" fontId="7" fillId="6" borderId="0" xfId="5" applyNumberFormat="1" applyFont="1" applyFill="1" applyBorder="1" applyAlignment="1">
      <alignment horizontal="right" vertical="center"/>
    </xf>
    <xf numFmtId="17" fontId="5" fillId="0" borderId="17" xfId="5" applyNumberFormat="1" applyFont="1" applyFill="1" applyBorder="1" applyAlignment="1">
      <alignment horizontal="center" vertical="center"/>
    </xf>
    <xf numFmtId="0" fontId="2" fillId="4" borderId="17" xfId="3" applyFont="1" applyFill="1" applyBorder="1" applyAlignment="1">
      <alignment horizontal="center" vertical="center" wrapText="1"/>
    </xf>
    <xf numFmtId="0" fontId="2" fillId="5" borderId="16" xfId="3" applyFont="1" applyFill="1" applyBorder="1" applyAlignment="1">
      <alignment horizontal="center" vertical="top"/>
    </xf>
    <xf numFmtId="164" fontId="2" fillId="5" borderId="17" xfId="3" applyNumberFormat="1" applyFont="1" applyFill="1" applyBorder="1" applyAlignment="1">
      <alignment horizontal="center" vertical="center" wrapText="1"/>
    </xf>
    <xf numFmtId="0" fontId="1" fillId="6" borderId="16" xfId="5" applyFont="1" applyFill="1" applyBorder="1" applyAlignment="1">
      <alignment horizontal="center" vertical="center"/>
    </xf>
    <xf numFmtId="166" fontId="4" fillId="6" borderId="17" xfId="8" applyNumberFormat="1" applyFont="1" applyFill="1" applyBorder="1" applyAlignment="1">
      <alignment horizontal="right" vertical="center" wrapText="1"/>
    </xf>
    <xf numFmtId="0" fontId="2" fillId="4" borderId="16" xfId="2" applyFont="1" applyFill="1" applyBorder="1" applyAlignment="1">
      <alignment horizontal="center" vertical="top"/>
    </xf>
    <xf numFmtId="164" fontId="2" fillId="5" borderId="17" xfId="26" applyNumberFormat="1" applyFont="1" applyFill="1" applyBorder="1" applyAlignment="1">
      <alignment horizontal="center" vertical="center"/>
    </xf>
    <xf numFmtId="0" fontId="1" fillId="6" borderId="16" xfId="26" applyFont="1" applyFill="1" applyBorder="1" applyAlignment="1">
      <alignment horizontal="center" vertical="center"/>
    </xf>
    <xf numFmtId="164" fontId="1" fillId="6" borderId="17" xfId="8" applyFont="1" applyFill="1" applyBorder="1" applyAlignment="1">
      <alignment vertical="center"/>
    </xf>
    <xf numFmtId="0" fontId="1" fillId="6" borderId="16" xfId="2" applyFont="1" applyFill="1" applyBorder="1" applyAlignment="1">
      <alignment horizontal="center" vertical="center"/>
    </xf>
    <xf numFmtId="0" fontId="1" fillId="5" borderId="16" xfId="26" applyFont="1" applyFill="1" applyBorder="1" applyAlignment="1">
      <alignment horizontal="center" vertical="center"/>
    </xf>
    <xf numFmtId="0" fontId="7" fillId="4" borderId="19" xfId="5" applyFont="1" applyFill="1" applyBorder="1"/>
    <xf numFmtId="0" fontId="7" fillId="4" borderId="3" xfId="5" applyFont="1" applyFill="1" applyBorder="1"/>
    <xf numFmtId="0" fontId="7" fillId="4" borderId="3" xfId="5" applyFont="1" applyFill="1" applyBorder="1" applyAlignment="1">
      <alignment horizontal="center" vertical="top" wrapText="1"/>
    </xf>
    <xf numFmtId="0" fontId="2" fillId="4" borderId="3" xfId="5" applyFont="1" applyFill="1" applyBorder="1" applyAlignment="1">
      <alignment horizontal="left" vertical="center" wrapText="1"/>
    </xf>
    <xf numFmtId="164" fontId="7" fillId="4" borderId="3" xfId="8" applyFont="1" applyFill="1" applyBorder="1" applyAlignment="1">
      <alignment horizontal="center" vertical="center" wrapText="1"/>
    </xf>
    <xf numFmtId="164" fontId="2" fillId="4" borderId="20" xfId="8" applyFont="1" applyFill="1" applyBorder="1" applyAlignment="1">
      <alignment horizontal="center" vertical="center" wrapText="1"/>
    </xf>
    <xf numFmtId="0" fontId="2" fillId="5" borderId="1" xfId="26" applyFont="1" applyFill="1" applyBorder="1" applyAlignment="1">
      <alignment horizontal="center" vertical="top"/>
    </xf>
    <xf numFmtId="0" fontId="2" fillId="5" borderId="1" xfId="26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" fillId="0" borderId="1" xfId="26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39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26" applyNumberFormat="1" applyFont="1" applyFill="1" applyBorder="1" applyAlignment="1">
      <alignment horizontal="center" vertical="center"/>
    </xf>
    <xf numFmtId="164" fontId="1" fillId="0" borderId="1" xfId="28" applyFont="1" applyFill="1" applyBorder="1" applyAlignment="1">
      <alignment horizontal="center" vertical="center"/>
    </xf>
    <xf numFmtId="4" fontId="17" fillId="0" borderId="1" xfId="5" applyNumberFormat="1" applyFont="1" applyFill="1" applyBorder="1" applyAlignment="1">
      <alignment horizontal="justify" vertical="justify" wrapText="1"/>
    </xf>
    <xf numFmtId="2" fontId="1" fillId="0" borderId="1" xfId="1" applyNumberFormat="1" applyFont="1" applyFill="1" applyBorder="1" applyAlignment="1">
      <alignment horizontal="right" vertical="center"/>
    </xf>
    <xf numFmtId="164" fontId="17" fillId="0" borderId="2" xfId="8" applyFont="1" applyFill="1" applyBorder="1" applyAlignment="1">
      <alignment horizontal="center" vertical="center" wrapText="1"/>
    </xf>
    <xf numFmtId="0" fontId="1" fillId="0" borderId="4" xfId="5" applyFont="1" applyFill="1" applyBorder="1" applyAlignment="1">
      <alignment horizontal="center" vertical="center"/>
    </xf>
    <xf numFmtId="0" fontId="17" fillId="0" borderId="1" xfId="6" applyNumberFormat="1" applyFont="1" applyFill="1" applyBorder="1" applyAlignment="1">
      <alignment horizontal="justify" vertical="justify" wrapText="1"/>
    </xf>
    <xf numFmtId="0" fontId="1" fillId="0" borderId="1" xfId="43" applyNumberFormat="1" applyFont="1" applyFill="1" applyBorder="1" applyAlignment="1">
      <alignment horizontal="left" vertical="center" wrapText="1"/>
    </xf>
    <xf numFmtId="0" fontId="8" fillId="0" borderId="1" xfId="26" applyFont="1" applyFill="1" applyBorder="1" applyAlignment="1">
      <alignment horizontal="left" vertical="center" wrapText="1"/>
    </xf>
    <xf numFmtId="0" fontId="10" fillId="0" borderId="1" xfId="26" applyFont="1" applyFill="1" applyBorder="1" applyAlignment="1">
      <alignment horizontal="center"/>
    </xf>
    <xf numFmtId="0" fontId="11" fillId="0" borderId="1" xfId="26" applyFont="1" applyFill="1" applyBorder="1" applyAlignment="1">
      <alignment horizontal="left" vertical="top" wrapText="1"/>
    </xf>
    <xf numFmtId="164" fontId="7" fillId="0" borderId="1" xfId="37" applyFont="1" applyFill="1" applyBorder="1" applyAlignment="1">
      <alignment horizontal="center" vertical="center"/>
    </xf>
    <xf numFmtId="0" fontId="8" fillId="4" borderId="1" xfId="26" applyFont="1" applyFill="1" applyBorder="1" applyAlignment="1">
      <alignment horizontal="left" vertical="center" wrapText="1"/>
    </xf>
    <xf numFmtId="0" fontId="8" fillId="0" borderId="7" xfId="6" applyNumberFormat="1" applyFont="1" applyFill="1" applyBorder="1" applyAlignment="1" applyProtection="1">
      <alignment horizontal="center" vertical="center" wrapText="1"/>
    </xf>
    <xf numFmtId="0" fontId="8" fillId="0" borderId="7" xfId="36" applyFont="1" applyFill="1" applyBorder="1" applyAlignment="1">
      <alignment horizontal="center" vertical="center" wrapText="1"/>
    </xf>
    <xf numFmtId="0" fontId="8" fillId="0" borderId="7" xfId="26" applyFont="1" applyFill="1" applyBorder="1" applyAlignment="1">
      <alignment horizontal="left" vertical="top" wrapText="1"/>
    </xf>
    <xf numFmtId="164" fontId="7" fillId="0" borderId="7" xfId="37" applyFont="1" applyFill="1" applyBorder="1" applyAlignment="1">
      <alignment horizontal="right"/>
    </xf>
    <xf numFmtId="0" fontId="8" fillId="4" borderId="7" xfId="6" applyNumberFormat="1" applyFont="1" applyFill="1" applyBorder="1" applyAlignment="1" applyProtection="1">
      <alignment horizontal="center" vertical="center" wrapText="1"/>
    </xf>
    <xf numFmtId="0" fontId="8" fillId="4" borderId="7" xfId="26" applyFont="1" applyFill="1" applyBorder="1" applyAlignment="1">
      <alignment horizontal="left" vertical="center" wrapText="1"/>
    </xf>
    <xf numFmtId="164" fontId="8" fillId="4" borderId="7" xfId="37" applyFont="1" applyFill="1" applyBorder="1" applyAlignment="1">
      <alignment horizontal="center" vertical="center" wrapText="1"/>
    </xf>
    <xf numFmtId="164" fontId="7" fillId="4" borderId="7" xfId="37" applyFont="1" applyFill="1" applyBorder="1" applyAlignment="1">
      <alignment horizontal="center" vertical="center" wrapText="1"/>
    </xf>
    <xf numFmtId="0" fontId="8" fillId="4" borderId="7" xfId="36" applyFont="1" applyFill="1" applyBorder="1" applyAlignment="1">
      <alignment horizontal="center" vertical="center" wrapText="1"/>
    </xf>
    <xf numFmtId="0" fontId="7" fillId="0" borderId="1" xfId="26" applyFont="1" applyFill="1" applyBorder="1" applyAlignment="1">
      <alignment horizontal="left" vertical="center" wrapText="1"/>
    </xf>
    <xf numFmtId="0" fontId="8" fillId="4" borderId="1" xfId="6" applyNumberFormat="1" applyFont="1" applyFill="1" applyBorder="1" applyAlignment="1" applyProtection="1">
      <alignment horizontal="center" vertical="center" wrapText="1"/>
    </xf>
    <xf numFmtId="4" fontId="1" fillId="0" borderId="1" xfId="6" applyNumberFormat="1" applyFont="1" applyFill="1" applyBorder="1" applyAlignment="1">
      <alignment horizontal="left" vertical="center" wrapText="1"/>
    </xf>
    <xf numFmtId="164" fontId="1" fillId="0" borderId="1" xfId="8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 wrapText="1"/>
    </xf>
    <xf numFmtId="0" fontId="17" fillId="0" borderId="1" xfId="42" applyNumberFormat="1" applyFont="1" applyFill="1" applyBorder="1" applyAlignment="1">
      <alignment horizontal="justify" vertical="justify" wrapText="1"/>
    </xf>
    <xf numFmtId="49" fontId="17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" fillId="0" borderId="1" xfId="6" applyNumberFormat="1" applyFont="1" applyFill="1" applyBorder="1" applyAlignment="1" applyProtection="1">
      <alignment vertical="center" wrapText="1"/>
    </xf>
    <xf numFmtId="164" fontId="1" fillId="0" borderId="7" xfId="27" applyFont="1" applyFill="1" applyBorder="1" applyAlignment="1">
      <alignment horizontal="center" vertical="center"/>
    </xf>
    <xf numFmtId="0" fontId="1" fillId="0" borderId="1" xfId="26" applyFont="1" applyFill="1" applyBorder="1" applyAlignment="1">
      <alignment horizontal="left" vertical="center" wrapText="1"/>
    </xf>
    <xf numFmtId="164" fontId="1" fillId="0" borderId="1" xfId="8" applyFont="1" applyFill="1" applyBorder="1" applyAlignment="1">
      <alignment vertical="center" wrapText="1"/>
    </xf>
    <xf numFmtId="1" fontId="1" fillId="6" borderId="1" xfId="5" applyNumberFormat="1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left" vertical="top" wrapText="1"/>
    </xf>
    <xf numFmtId="0" fontId="1" fillId="0" borderId="2" xfId="26" applyFont="1" applyFill="1" applyBorder="1" applyAlignment="1">
      <alignment horizontal="center" vertical="center"/>
    </xf>
    <xf numFmtId="164" fontId="1" fillId="0" borderId="7" xfId="27" applyFont="1" applyFill="1" applyBorder="1" applyAlignment="1">
      <alignment horizontal="center" vertical="center" wrapText="1"/>
    </xf>
    <xf numFmtId="164" fontId="1" fillId="0" borderId="7" xfId="26" applyNumberFormat="1" applyFont="1" applyFill="1" applyBorder="1" applyAlignment="1">
      <alignment horizontal="center" vertical="center"/>
    </xf>
    <xf numFmtId="49" fontId="1" fillId="0" borderId="1" xfId="42" applyNumberFormat="1" applyFont="1" applyFill="1" applyBorder="1" applyAlignment="1">
      <alignment horizontal="center" vertical="center"/>
    </xf>
    <xf numFmtId="0" fontId="1" fillId="0" borderId="1" xfId="6" applyNumberFormat="1" applyFont="1" applyFill="1" applyBorder="1" applyAlignment="1" applyProtection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2" fontId="4" fillId="6" borderId="1" xfId="5" applyNumberFormat="1" applyFont="1" applyFill="1" applyBorder="1" applyAlignment="1">
      <alignment horizontal="right" vertical="center" wrapText="1"/>
    </xf>
    <xf numFmtId="0" fontId="1" fillId="6" borderId="1" xfId="26" applyFont="1" applyFill="1" applyBorder="1" applyAlignment="1">
      <alignment horizontal="right" vertical="center"/>
    </xf>
    <xf numFmtId="2" fontId="1" fillId="6" borderId="1" xfId="26" applyNumberFormat="1" applyFont="1" applyFill="1" applyBorder="1" applyAlignment="1">
      <alignment horizontal="right" vertical="center"/>
    </xf>
    <xf numFmtId="164" fontId="4" fillId="6" borderId="1" xfId="8" applyFont="1" applyFill="1" applyBorder="1" applyAlignment="1">
      <alignment horizontal="right" vertical="center" wrapText="1"/>
    </xf>
    <xf numFmtId="164" fontId="1" fillId="0" borderId="1" xfId="8" applyFont="1" applyFill="1" applyBorder="1" applyAlignment="1">
      <alignment horizontal="right" vertical="center" wrapText="1"/>
    </xf>
    <xf numFmtId="2" fontId="1" fillId="0" borderId="1" xfId="8" applyNumberFormat="1" applyFont="1" applyFill="1" applyBorder="1" applyAlignment="1">
      <alignment horizontal="right" vertical="center"/>
    </xf>
    <xf numFmtId="0" fontId="1" fillId="0" borderId="7" xfId="5" applyFont="1" applyFill="1" applyBorder="1" applyAlignment="1">
      <alignment horizontal="center" vertical="center"/>
    </xf>
    <xf numFmtId="164" fontId="2" fillId="0" borderId="5" xfId="27" applyFont="1" applyBorder="1" applyAlignment="1">
      <alignment vertical="center" wrapText="1"/>
    </xf>
    <xf numFmtId="164" fontId="2" fillId="5" borderId="5" xfId="27" applyFont="1" applyFill="1" applyBorder="1" applyAlignment="1">
      <alignment horizontal="center" vertical="center" wrapText="1"/>
    </xf>
    <xf numFmtId="164" fontId="2" fillId="6" borderId="1" xfId="27" applyFont="1" applyFill="1" applyBorder="1" applyAlignment="1">
      <alignment horizontal="left" vertical="top" wrapText="1"/>
    </xf>
    <xf numFmtId="164" fontId="2" fillId="0" borderId="1" xfId="27" applyFont="1" applyBorder="1" applyAlignment="1">
      <alignment vertical="center" wrapText="1"/>
    </xf>
    <xf numFmtId="164" fontId="2" fillId="0" borderId="1" xfId="27" applyFont="1" applyBorder="1" applyAlignment="1">
      <alignment horizontal="center" vertical="center" wrapText="1"/>
    </xf>
    <xf numFmtId="164" fontId="2" fillId="5" borderId="2" xfId="27" applyFont="1" applyFill="1" applyBorder="1" applyAlignment="1">
      <alignment horizontal="center" vertical="top" wrapText="1"/>
    </xf>
    <xf numFmtId="164" fontId="2" fillId="5" borderId="1" xfId="27" applyFont="1" applyFill="1" applyBorder="1" applyAlignment="1">
      <alignment horizontal="center" vertical="top" wrapText="1"/>
    </xf>
    <xf numFmtId="164" fontId="1" fillId="0" borderId="1" xfId="27" applyFont="1" applyFill="1" applyBorder="1" applyAlignment="1">
      <alignment vertical="center" wrapText="1"/>
    </xf>
    <xf numFmtId="164" fontId="2" fillId="3" borderId="1" xfId="27" applyFont="1" applyFill="1" applyBorder="1" applyAlignment="1">
      <alignment vertical="center" wrapText="1"/>
    </xf>
    <xf numFmtId="164" fontId="2" fillId="3" borderId="1" xfId="27" applyFont="1" applyFill="1" applyBorder="1" applyAlignment="1">
      <alignment horizontal="center" vertical="center" wrapText="1"/>
    </xf>
    <xf numFmtId="164" fontId="19" fillId="5" borderId="1" xfId="27" applyFont="1" applyFill="1" applyBorder="1" applyAlignment="1">
      <alignment vertical="center" wrapText="1"/>
    </xf>
    <xf numFmtId="164" fontId="1" fillId="5" borderId="1" xfId="27" applyFont="1" applyFill="1" applyBorder="1" applyAlignment="1">
      <alignment vertical="center" wrapText="1"/>
    </xf>
    <xf numFmtId="164" fontId="1" fillId="5" borderId="1" xfId="27" applyFont="1" applyFill="1" applyBorder="1" applyAlignment="1">
      <alignment horizontal="center" vertical="center" wrapText="1"/>
    </xf>
    <xf numFmtId="0" fontId="1" fillId="6" borderId="1" xfId="27" applyNumberFormat="1" applyFont="1" applyFill="1" applyBorder="1" applyAlignment="1">
      <alignment vertical="center" wrapText="1"/>
    </xf>
    <xf numFmtId="164" fontId="1" fillId="6" borderId="1" xfId="27" applyFont="1" applyFill="1" applyBorder="1" applyAlignment="1">
      <alignment horizontal="center" vertical="center" wrapText="1"/>
    </xf>
    <xf numFmtId="164" fontId="1" fillId="6" borderId="1" xfId="27" applyNumberFormat="1" applyFont="1" applyFill="1" applyBorder="1" applyAlignment="1">
      <alignment horizontal="right" vertical="center" wrapText="1"/>
    </xf>
    <xf numFmtId="2" fontId="17" fillId="6" borderId="1" xfId="0" applyNumberFormat="1" applyFont="1" applyFill="1" applyBorder="1" applyAlignment="1">
      <alignment horizontal="right" vertical="center"/>
    </xf>
    <xf numFmtId="164" fontId="1" fillId="0" borderId="1" xfId="27" applyFont="1" applyBorder="1" applyAlignment="1">
      <alignment horizontal="justify" vertical="center" wrapText="1"/>
    </xf>
    <xf numFmtId="164" fontId="1" fillId="0" borderId="1" xfId="27" applyFont="1" applyBorder="1" applyAlignment="1">
      <alignment horizontal="center" vertical="center" wrapText="1"/>
    </xf>
    <xf numFmtId="0" fontId="1" fillId="0" borderId="1" xfId="27" applyNumberFormat="1" applyFont="1" applyFill="1" applyBorder="1" applyAlignment="1">
      <alignment vertical="center" wrapText="1"/>
    </xf>
    <xf numFmtId="164" fontId="17" fillId="0" borderId="1" xfId="27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right"/>
    </xf>
    <xf numFmtId="2" fontId="17" fillId="0" borderId="1" xfId="0" applyNumberFormat="1" applyFont="1" applyFill="1" applyBorder="1" applyAlignment="1">
      <alignment horizontal="right" vertical="center"/>
    </xf>
    <xf numFmtId="2" fontId="1" fillId="0" borderId="1" xfId="27" applyNumberFormat="1" applyFont="1" applyBorder="1" applyAlignment="1">
      <alignment horizontal="left" vertical="center" wrapText="1"/>
    </xf>
    <xf numFmtId="164" fontId="1" fillId="0" borderId="1" xfId="27" applyFont="1" applyBorder="1" applyAlignment="1">
      <alignment vertical="center" wrapText="1"/>
    </xf>
    <xf numFmtId="164" fontId="2" fillId="3" borderId="1" xfId="27" applyFont="1" applyFill="1" applyBorder="1" applyAlignment="1">
      <alignment horizontal="left" vertical="center" wrapText="1"/>
    </xf>
    <xf numFmtId="164" fontId="1" fillId="5" borderId="3" xfId="27" applyFont="1" applyFill="1" applyBorder="1" applyAlignment="1">
      <alignment horizontal="justify" vertical="center" wrapText="1"/>
    </xf>
    <xf numFmtId="164" fontId="1" fillId="5" borderId="3" xfId="27" applyFont="1" applyFill="1" applyBorder="1" applyAlignment="1">
      <alignment horizontal="right" vertical="center" wrapText="1"/>
    </xf>
    <xf numFmtId="164" fontId="1" fillId="5" borderId="3" xfId="27" applyFont="1" applyFill="1" applyBorder="1" applyAlignment="1">
      <alignment horizontal="center" vertical="center" wrapText="1"/>
    </xf>
    <xf numFmtId="164" fontId="2" fillId="5" borderId="3" xfId="27" applyFont="1" applyFill="1" applyBorder="1" applyAlignment="1">
      <alignment horizontal="right" vertical="center" wrapText="1"/>
    </xf>
    <xf numFmtId="164" fontId="1" fillId="0" borderId="1" xfId="27" applyFont="1" applyFill="1" applyBorder="1" applyAlignment="1">
      <alignment horizontal="center" vertical="center" wrapText="1"/>
    </xf>
    <xf numFmtId="164" fontId="19" fillId="6" borderId="1" xfId="27" applyFont="1" applyFill="1" applyBorder="1" applyAlignment="1">
      <alignment vertical="center" wrapText="1"/>
    </xf>
    <xf numFmtId="0" fontId="1" fillId="6" borderId="1" xfId="27" applyNumberFormat="1" applyFont="1" applyFill="1" applyBorder="1" applyAlignment="1">
      <alignment horizontal="left" vertical="center" wrapText="1"/>
    </xf>
    <xf numFmtId="164" fontId="1" fillId="6" borderId="1" xfId="27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164" fontId="1" fillId="6" borderId="1" xfId="46" applyFont="1" applyFill="1" applyBorder="1" applyAlignment="1">
      <alignment horizontal="center" vertical="center" wrapText="1"/>
    </xf>
    <xf numFmtId="2" fontId="1" fillId="6" borderId="1" xfId="27" applyNumberFormat="1" applyFont="1" applyFill="1" applyBorder="1" applyAlignment="1">
      <alignment horizontal="right" vertical="center"/>
    </xf>
    <xf numFmtId="164" fontId="1" fillId="0" borderId="1" xfId="27" applyFont="1" applyFill="1" applyBorder="1" applyAlignment="1"/>
    <xf numFmtId="164" fontId="2" fillId="3" borderId="1" xfId="27" applyFont="1" applyFill="1" applyBorder="1" applyAlignment="1">
      <alignment horizontal="justify" vertical="center" wrapText="1"/>
    </xf>
    <xf numFmtId="167" fontId="1" fillId="0" borderId="21" xfId="27" applyNumberFormat="1" applyFont="1" applyBorder="1" applyAlignment="1">
      <alignment horizontal="center" vertical="center" wrapText="1"/>
    </xf>
    <xf numFmtId="164" fontId="2" fillId="3" borderId="5" xfId="27" applyFont="1" applyFill="1" applyBorder="1" applyAlignment="1">
      <alignment horizontal="center" vertical="center" wrapText="1"/>
    </xf>
    <xf numFmtId="167" fontId="1" fillId="0" borderId="16" xfId="27" applyNumberFormat="1" applyFont="1" applyBorder="1" applyAlignment="1">
      <alignment horizontal="center" vertical="center" wrapText="1"/>
    </xf>
    <xf numFmtId="164" fontId="2" fillId="6" borderId="18" xfId="27" applyFont="1" applyFill="1" applyBorder="1" applyAlignment="1">
      <alignment vertical="top" wrapText="1"/>
    </xf>
    <xf numFmtId="164" fontId="1" fillId="0" borderId="17" xfId="27" applyFont="1" applyFill="1" applyBorder="1" applyAlignment="1">
      <alignment vertical="center" wrapText="1"/>
    </xf>
    <xf numFmtId="167" fontId="2" fillId="3" borderId="16" xfId="27" applyNumberFormat="1" applyFont="1" applyFill="1" applyBorder="1" applyAlignment="1">
      <alignment vertical="center" wrapText="1"/>
    </xf>
    <xf numFmtId="164" fontId="2" fillId="3" borderId="17" xfId="27" applyFont="1" applyFill="1" applyBorder="1" applyAlignment="1">
      <alignment horizontal="center" vertical="center" wrapText="1"/>
    </xf>
    <xf numFmtId="167" fontId="1" fillId="5" borderId="16" xfId="27" applyNumberFormat="1" applyFont="1" applyFill="1" applyBorder="1" applyAlignment="1">
      <alignment horizontal="center" vertical="center" wrapText="1"/>
    </xf>
    <xf numFmtId="164" fontId="1" fillId="5" borderId="17" xfId="27" applyFont="1" applyFill="1" applyBorder="1" applyAlignment="1">
      <alignment horizontal="center" vertical="center" wrapText="1"/>
    </xf>
    <xf numFmtId="167" fontId="1" fillId="6" borderId="16" xfId="27" applyNumberFormat="1" applyFont="1" applyFill="1" applyBorder="1" applyAlignment="1">
      <alignment horizontal="center" vertical="center" wrapText="1"/>
    </xf>
    <xf numFmtId="164" fontId="1" fillId="6" borderId="17" xfId="27" applyFont="1" applyFill="1" applyBorder="1" applyAlignment="1">
      <alignment horizontal="center" vertical="center" wrapText="1"/>
    </xf>
    <xf numFmtId="49" fontId="1" fillId="6" borderId="16" xfId="27" applyNumberFormat="1" applyFont="1" applyFill="1" applyBorder="1" applyAlignment="1">
      <alignment horizontal="center" vertical="center" wrapText="1"/>
    </xf>
    <xf numFmtId="164" fontId="1" fillId="6" borderId="17" xfId="27" applyFont="1" applyFill="1" applyBorder="1" applyAlignment="1">
      <alignment vertical="center" wrapText="1"/>
    </xf>
    <xf numFmtId="164" fontId="2" fillId="3" borderId="17" xfId="27" applyFont="1" applyFill="1" applyBorder="1" applyAlignment="1">
      <alignment vertical="center" wrapText="1"/>
    </xf>
    <xf numFmtId="164" fontId="1" fillId="5" borderId="17" xfId="27" applyFont="1" applyFill="1" applyBorder="1" applyAlignment="1">
      <alignment vertical="center" wrapText="1"/>
    </xf>
    <xf numFmtId="164" fontId="1" fillId="0" borderId="17" xfId="27" applyFont="1" applyBorder="1" applyAlignment="1">
      <alignment vertical="center" wrapText="1"/>
    </xf>
    <xf numFmtId="167" fontId="1" fillId="5" borderId="19" xfId="27" applyNumberFormat="1" applyFont="1" applyFill="1" applyBorder="1" applyAlignment="1">
      <alignment horizontal="center" vertical="center" wrapText="1"/>
    </xf>
    <xf numFmtId="164" fontId="2" fillId="5" borderId="20" xfId="27" applyNumberFormat="1" applyFont="1" applyFill="1" applyBorder="1" applyAlignment="1">
      <alignment horizontal="right" vertical="center" wrapText="1"/>
    </xf>
    <xf numFmtId="164" fontId="2" fillId="6" borderId="5" xfId="27" applyFont="1" applyFill="1" applyBorder="1" applyAlignment="1">
      <alignment vertical="center" wrapText="1"/>
    </xf>
    <xf numFmtId="164" fontId="2" fillId="0" borderId="1" xfId="27" applyFont="1" applyFill="1" applyBorder="1" applyAlignment="1">
      <alignment horizontal="left" vertical="top" wrapText="1"/>
    </xf>
    <xf numFmtId="0" fontId="1" fillId="0" borderId="1" xfId="0" applyFont="1" applyBorder="1"/>
    <xf numFmtId="165" fontId="1" fillId="0" borderId="1" xfId="27" applyNumberFormat="1" applyFont="1" applyBorder="1" applyAlignment="1">
      <alignment vertical="center" wrapText="1"/>
    </xf>
    <xf numFmtId="0" fontId="1" fillId="0" borderId="8" xfId="47" applyFont="1" applyFill="1" applyBorder="1" applyAlignment="1">
      <alignment horizontal="justify" vertical="top"/>
    </xf>
    <xf numFmtId="2" fontId="17" fillId="6" borderId="1" xfId="0" applyNumberFormat="1" applyFont="1" applyFill="1" applyBorder="1" applyAlignment="1">
      <alignment horizontal="right"/>
    </xf>
    <xf numFmtId="164" fontId="2" fillId="3" borderId="3" xfId="27" applyFont="1" applyFill="1" applyBorder="1" applyAlignment="1">
      <alignment horizontal="left" vertical="center" wrapText="1"/>
    </xf>
    <xf numFmtId="164" fontId="2" fillId="0" borderId="5" xfId="41" applyFont="1" applyBorder="1" applyAlignment="1">
      <alignment vertical="center" wrapText="1"/>
    </xf>
    <xf numFmtId="164" fontId="2" fillId="5" borderId="5" xfId="41" applyFont="1" applyFill="1" applyBorder="1" applyAlignment="1">
      <alignment horizontal="center" vertical="center" wrapText="1"/>
    </xf>
    <xf numFmtId="164" fontId="2" fillId="6" borderId="1" xfId="41" applyFont="1" applyFill="1" applyBorder="1" applyAlignment="1">
      <alignment horizontal="left" vertical="top" wrapText="1"/>
    </xf>
    <xf numFmtId="164" fontId="2" fillId="0" borderId="1" xfId="41" applyFont="1" applyBorder="1" applyAlignment="1">
      <alignment vertical="center" wrapText="1"/>
    </xf>
    <xf numFmtId="164" fontId="2" fillId="0" borderId="1" xfId="41" applyFont="1" applyBorder="1" applyAlignment="1">
      <alignment horizontal="center" vertical="center" wrapText="1"/>
    </xf>
    <xf numFmtId="164" fontId="2" fillId="5" borderId="2" xfId="41" applyFont="1" applyFill="1" applyBorder="1" applyAlignment="1">
      <alignment horizontal="center" vertical="top" wrapText="1"/>
    </xf>
    <xf numFmtId="164" fontId="2" fillId="5" borderId="1" xfId="41" applyFont="1" applyFill="1" applyBorder="1" applyAlignment="1">
      <alignment horizontal="center" vertical="top" wrapText="1"/>
    </xf>
    <xf numFmtId="164" fontId="1" fillId="0" borderId="1" xfId="41" applyFont="1" applyFill="1" applyBorder="1" applyAlignment="1">
      <alignment vertical="center" wrapText="1"/>
    </xf>
    <xf numFmtId="2" fontId="1" fillId="0" borderId="1" xfId="46" applyNumberFormat="1" applyFont="1" applyBorder="1" applyAlignment="1">
      <alignment horizontal="left" vertical="center" wrapText="1"/>
    </xf>
    <xf numFmtId="164" fontId="1" fillId="0" borderId="1" xfId="46" applyFont="1" applyBorder="1" applyAlignment="1">
      <alignment horizontal="center" vertical="center" wrapText="1"/>
    </xf>
    <xf numFmtId="164" fontId="1" fillId="0" borderId="8" xfId="46" applyFont="1" applyFill="1" applyBorder="1" applyAlignment="1">
      <alignment horizontal="right"/>
    </xf>
    <xf numFmtId="43" fontId="17" fillId="0" borderId="1" xfId="39" applyNumberFormat="1" applyFont="1" applyFill="1" applyBorder="1" applyAlignment="1">
      <alignment vertical="center" wrapText="1"/>
    </xf>
    <xf numFmtId="43" fontId="1" fillId="0" borderId="1" xfId="39" applyNumberFormat="1" applyFont="1" applyFill="1" applyBorder="1" applyAlignment="1">
      <alignment horizontal="center" vertical="center" wrapText="1"/>
    </xf>
    <xf numFmtId="167" fontId="1" fillId="0" borderId="21" xfId="41" applyNumberFormat="1" applyFont="1" applyBorder="1" applyAlignment="1">
      <alignment horizontal="center" vertical="center" wrapText="1"/>
    </xf>
    <xf numFmtId="167" fontId="1" fillId="0" borderId="16" xfId="41" applyNumberFormat="1" applyFont="1" applyBorder="1" applyAlignment="1">
      <alignment horizontal="center" vertical="center" wrapText="1"/>
    </xf>
    <xf numFmtId="164" fontId="2" fillId="6" borderId="18" xfId="41" applyFont="1" applyFill="1" applyBorder="1" applyAlignment="1">
      <alignment vertical="top" wrapText="1"/>
    </xf>
    <xf numFmtId="164" fontId="1" fillId="0" borderId="17" xfId="41" applyFont="1" applyFill="1" applyBorder="1" applyAlignment="1">
      <alignment vertical="center" wrapText="1"/>
    </xf>
    <xf numFmtId="167" fontId="1" fillId="0" borderId="16" xfId="27" applyNumberFormat="1" applyFont="1" applyFill="1" applyBorder="1" applyAlignment="1">
      <alignment horizontal="center" vertical="center" wrapText="1"/>
    </xf>
    <xf numFmtId="2" fontId="1" fillId="6" borderId="17" xfId="0" applyNumberFormat="1" applyFont="1" applyFill="1" applyBorder="1" applyAlignment="1">
      <alignment vertical="center"/>
    </xf>
    <xf numFmtId="2" fontId="2" fillId="3" borderId="17" xfId="27" applyNumberFormat="1" applyFont="1" applyFill="1" applyBorder="1" applyAlignment="1">
      <alignment vertical="center" wrapText="1"/>
    </xf>
    <xf numFmtId="2" fontId="1" fillId="5" borderId="17" xfId="27" applyNumberFormat="1" applyFont="1" applyFill="1" applyBorder="1" applyAlignment="1">
      <alignment vertical="center" wrapText="1"/>
    </xf>
    <xf numFmtId="167" fontId="1" fillId="0" borderId="16" xfId="46" applyNumberFormat="1" applyFont="1" applyBorder="1" applyAlignment="1">
      <alignment horizontal="center" vertical="center" wrapText="1"/>
    </xf>
    <xf numFmtId="164" fontId="1" fillId="0" borderId="17" xfId="46" applyFont="1" applyBorder="1" applyAlignment="1">
      <alignment vertical="center" wrapText="1"/>
    </xf>
    <xf numFmtId="167" fontId="17" fillId="0" borderId="16" xfId="39" applyNumberFormat="1" applyFont="1" applyFill="1" applyBorder="1" applyAlignment="1">
      <alignment horizontal="center" vertical="center" wrapText="1"/>
    </xf>
    <xf numFmtId="166" fontId="2" fillId="5" borderId="20" xfId="27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64" fontId="17" fillId="0" borderId="1" xfId="27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right"/>
    </xf>
    <xf numFmtId="2" fontId="17" fillId="0" borderId="1" xfId="0" applyNumberFormat="1" applyFont="1" applyBorder="1" applyAlignment="1">
      <alignment horizontal="right" vertical="center"/>
    </xf>
    <xf numFmtId="167" fontId="1" fillId="6" borderId="21" xfId="27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 vertical="top"/>
    </xf>
    <xf numFmtId="0" fontId="1" fillId="5" borderId="16" xfId="0" applyFont="1" applyFill="1" applyBorder="1" applyAlignment="1">
      <alignment horizontal="center" vertical="top"/>
    </xf>
    <xf numFmtId="167" fontId="1" fillId="4" borderId="19" xfId="27" applyNumberFormat="1" applyFont="1" applyFill="1" applyBorder="1" applyAlignment="1">
      <alignment horizontal="center" vertical="center" wrapText="1"/>
    </xf>
    <xf numFmtId="164" fontId="2" fillId="3" borderId="20" xfId="27" applyFont="1" applyFill="1" applyBorder="1" applyAlignment="1">
      <alignment horizontal="left" vertical="center" wrapText="1"/>
    </xf>
    <xf numFmtId="2" fontId="1" fillId="0" borderId="17" xfId="27" applyNumberFormat="1" applyFont="1" applyFill="1" applyBorder="1" applyAlignment="1">
      <alignment vertical="center" wrapText="1"/>
    </xf>
    <xf numFmtId="0" fontId="17" fillId="0" borderId="1" xfId="6" applyNumberFormat="1" applyFont="1" applyFill="1" applyBorder="1" applyAlignment="1" applyProtection="1">
      <alignment horizontal="center" vertical="center" wrapText="1"/>
    </xf>
    <xf numFmtId="0" fontId="1" fillId="0" borderId="1" xfId="43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1" xfId="5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8" fillId="0" borderId="1" xfId="36" applyFont="1" applyFill="1" applyBorder="1" applyAlignment="1">
      <alignment horizontal="center" vertical="center"/>
    </xf>
    <xf numFmtId="164" fontId="2" fillId="3" borderId="1" xfId="41" applyFont="1" applyFill="1" applyBorder="1" applyAlignment="1">
      <alignment vertical="center" wrapText="1"/>
    </xf>
    <xf numFmtId="164" fontId="2" fillId="3" borderId="1" xfId="41" applyFont="1" applyFill="1" applyBorder="1" applyAlignment="1">
      <alignment horizontal="center" vertical="center" wrapText="1"/>
    </xf>
    <xf numFmtId="164" fontId="19" fillId="5" borderId="1" xfId="41" applyFont="1" applyFill="1" applyBorder="1" applyAlignment="1">
      <alignment vertical="center" wrapText="1"/>
    </xf>
    <xf numFmtId="164" fontId="1" fillId="5" borderId="1" xfId="41" applyFont="1" applyFill="1" applyBorder="1" applyAlignment="1">
      <alignment vertical="center" wrapText="1"/>
    </xf>
    <xf numFmtId="164" fontId="1" fillId="5" borderId="1" xfId="4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left" vertical="center" wrapText="1"/>
    </xf>
    <xf numFmtId="2" fontId="1" fillId="6" borderId="1" xfId="0" applyNumberFormat="1" applyFont="1" applyFill="1" applyBorder="1" applyAlignment="1">
      <alignment horizontal="right" vertical="center"/>
    </xf>
    <xf numFmtId="164" fontId="1" fillId="6" borderId="1" xfId="41" applyFont="1" applyFill="1" applyBorder="1" applyAlignment="1">
      <alignment horizontal="right" vertical="center"/>
    </xf>
    <xf numFmtId="0" fontId="1" fillId="6" borderId="1" xfId="0" applyNumberFormat="1" applyFont="1" applyFill="1" applyBorder="1" applyAlignment="1">
      <alignment vertical="center"/>
    </xf>
    <xf numFmtId="164" fontId="1" fillId="0" borderId="1" xfId="41" applyFont="1" applyBorder="1" applyAlignment="1">
      <alignment horizontal="justify" vertical="center" wrapText="1"/>
    </xf>
    <xf numFmtId="164" fontId="1" fillId="0" borderId="1" xfId="41" applyFont="1" applyBorder="1" applyAlignment="1">
      <alignment horizontal="center" vertical="center" wrapText="1"/>
    </xf>
    <xf numFmtId="164" fontId="1" fillId="0" borderId="1" xfId="41" applyFont="1" applyFill="1" applyBorder="1" applyAlignment="1">
      <alignment horizontal="center" vertical="center" wrapText="1"/>
    </xf>
    <xf numFmtId="165" fontId="1" fillId="0" borderId="1" xfId="41" applyNumberFormat="1" applyFont="1" applyBorder="1" applyAlignment="1">
      <alignment vertical="center" wrapText="1"/>
    </xf>
    <xf numFmtId="164" fontId="1" fillId="0" borderId="1" xfId="41" applyFont="1" applyBorder="1" applyAlignment="1">
      <alignment vertical="center" wrapText="1"/>
    </xf>
    <xf numFmtId="164" fontId="2" fillId="3" borderId="1" xfId="41" applyFont="1" applyFill="1" applyBorder="1" applyAlignment="1">
      <alignment horizontal="left" vertical="center" wrapText="1"/>
    </xf>
    <xf numFmtId="164" fontId="1" fillId="0" borderId="8" xfId="41" applyFont="1" applyFill="1" applyBorder="1" applyAlignment="1">
      <alignment horizontal="right"/>
    </xf>
    <xf numFmtId="164" fontId="2" fillId="3" borderId="1" xfId="41" applyFont="1" applyFill="1" applyBorder="1" applyAlignment="1">
      <alignment horizontal="justify" vertical="center" wrapText="1"/>
    </xf>
    <xf numFmtId="164" fontId="1" fillId="5" borderId="3" xfId="41" applyFont="1" applyFill="1" applyBorder="1" applyAlignment="1">
      <alignment horizontal="justify" vertical="center" wrapText="1"/>
    </xf>
    <xf numFmtId="164" fontId="1" fillId="5" borderId="3" xfId="41" applyFont="1" applyFill="1" applyBorder="1" applyAlignment="1">
      <alignment horizontal="right" vertical="center" wrapText="1"/>
    </xf>
    <xf numFmtId="164" fontId="1" fillId="5" borderId="3" xfId="41" applyFont="1" applyFill="1" applyBorder="1" applyAlignment="1">
      <alignment horizontal="center" vertical="center" wrapText="1"/>
    </xf>
    <xf numFmtId="164" fontId="2" fillId="5" borderId="3" xfId="41" applyFont="1" applyFill="1" applyBorder="1" applyAlignment="1">
      <alignment horizontal="right" vertical="center" wrapText="1"/>
    </xf>
    <xf numFmtId="164" fontId="2" fillId="0" borderId="5" xfId="43" applyFont="1" applyBorder="1" applyAlignment="1">
      <alignment vertical="center" wrapText="1"/>
    </xf>
    <xf numFmtId="164" fontId="2" fillId="5" borderId="5" xfId="43" applyFont="1" applyFill="1" applyBorder="1" applyAlignment="1">
      <alignment horizontal="center" vertical="center" wrapText="1"/>
    </xf>
    <xf numFmtId="164" fontId="2" fillId="6" borderId="1" xfId="43" applyFont="1" applyFill="1" applyBorder="1" applyAlignment="1">
      <alignment horizontal="left" vertical="top" wrapText="1"/>
    </xf>
    <xf numFmtId="164" fontId="2" fillId="0" borderId="1" xfId="43" applyFont="1" applyBorder="1" applyAlignment="1">
      <alignment vertical="center" wrapText="1"/>
    </xf>
    <xf numFmtId="164" fontId="2" fillId="0" borderId="1" xfId="43" applyFont="1" applyBorder="1" applyAlignment="1">
      <alignment horizontal="center" vertical="center" wrapText="1"/>
    </xf>
    <xf numFmtId="164" fontId="2" fillId="5" borderId="2" xfId="43" applyFont="1" applyFill="1" applyBorder="1" applyAlignment="1">
      <alignment horizontal="center" vertical="top" wrapText="1"/>
    </xf>
    <xf numFmtId="164" fontId="2" fillId="5" borderId="1" xfId="43" applyFont="1" applyFill="1" applyBorder="1" applyAlignment="1">
      <alignment horizontal="center" vertical="top" wrapText="1"/>
    </xf>
    <xf numFmtId="164" fontId="2" fillId="3" borderId="1" xfId="43" applyFont="1" applyFill="1" applyBorder="1" applyAlignment="1">
      <alignment vertical="center" wrapText="1"/>
    </xf>
    <xf numFmtId="164" fontId="2" fillId="3" borderId="1" xfId="43" applyFont="1" applyFill="1" applyBorder="1" applyAlignment="1">
      <alignment horizontal="center" vertical="center" wrapText="1"/>
    </xf>
    <xf numFmtId="164" fontId="19" fillId="5" borderId="1" xfId="43" applyFont="1" applyFill="1" applyBorder="1" applyAlignment="1">
      <alignment vertical="center" wrapText="1"/>
    </xf>
    <xf numFmtId="164" fontId="1" fillId="5" borderId="1" xfId="43" applyFont="1" applyFill="1" applyBorder="1" applyAlignment="1">
      <alignment vertical="center" wrapText="1"/>
    </xf>
    <xf numFmtId="164" fontId="1" fillId="5" borderId="1" xfId="43" applyFont="1" applyFill="1" applyBorder="1" applyAlignment="1">
      <alignment horizontal="center" vertical="center" wrapText="1"/>
    </xf>
    <xf numFmtId="164" fontId="1" fillId="6" borderId="1" xfId="43" applyFont="1" applyFill="1" applyBorder="1" applyAlignment="1">
      <alignment horizontal="center" vertical="center" wrapText="1"/>
    </xf>
    <xf numFmtId="0" fontId="1" fillId="0" borderId="1" xfId="41" applyNumberFormat="1" applyFont="1" applyFill="1" applyBorder="1" applyAlignment="1">
      <alignment horizontal="right" vertical="center"/>
    </xf>
    <xf numFmtId="0" fontId="1" fillId="0" borderId="1" xfId="41" applyNumberFormat="1" applyFont="1" applyBorder="1" applyAlignment="1">
      <alignment horizontal="left" vertical="center" wrapText="1"/>
    </xf>
    <xf numFmtId="2" fontId="1" fillId="0" borderId="1" xfId="41" applyNumberFormat="1" applyFont="1" applyFill="1" applyBorder="1" applyAlignment="1">
      <alignment horizontal="right" vertical="center"/>
    </xf>
    <xf numFmtId="0" fontId="1" fillId="0" borderId="1" xfId="48" applyFont="1" applyFill="1" applyBorder="1" applyAlignment="1">
      <alignment horizontal="center" vertical="center"/>
    </xf>
    <xf numFmtId="164" fontId="1" fillId="0" borderId="1" xfId="43" applyFont="1" applyFill="1" applyBorder="1" applyAlignment="1">
      <alignment horizontal="center" vertical="center" wrapText="1"/>
    </xf>
    <xf numFmtId="2" fontId="1" fillId="0" borderId="4" xfId="41" applyNumberFormat="1" applyFont="1" applyFill="1" applyBorder="1" applyAlignment="1">
      <alignment horizontal="right" vertical="center"/>
    </xf>
    <xf numFmtId="164" fontId="1" fillId="0" borderId="1" xfId="43" applyFont="1" applyBorder="1" applyAlignment="1">
      <alignment horizontal="justify" vertical="center" wrapText="1"/>
    </xf>
    <xf numFmtId="164" fontId="1" fillId="0" borderId="1" xfId="43" applyFont="1" applyBorder="1" applyAlignment="1">
      <alignment horizontal="center" vertical="center" wrapText="1"/>
    </xf>
    <xf numFmtId="164" fontId="2" fillId="0" borderId="1" xfId="43" applyFont="1" applyFill="1" applyBorder="1" applyAlignment="1">
      <alignment vertical="center" wrapText="1"/>
    </xf>
    <xf numFmtId="164" fontId="2" fillId="0" borderId="1" xfId="43" applyFont="1" applyFill="1" applyBorder="1" applyAlignment="1">
      <alignment horizontal="center" vertical="center" wrapText="1"/>
    </xf>
    <xf numFmtId="164" fontId="1" fillId="5" borderId="3" xfId="43" applyFont="1" applyFill="1" applyBorder="1" applyAlignment="1">
      <alignment horizontal="right" vertical="center" wrapText="1"/>
    </xf>
    <xf numFmtId="164" fontId="1" fillId="5" borderId="3" xfId="43" applyFont="1" applyFill="1" applyBorder="1" applyAlignment="1">
      <alignment horizontal="center" vertical="center" wrapText="1"/>
    </xf>
    <xf numFmtId="164" fontId="2" fillId="5" borderId="3" xfId="43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39" fontId="1" fillId="0" borderId="1" xfId="39" applyNumberFormat="1" applyFont="1" applyFill="1" applyBorder="1" applyAlignment="1">
      <alignment horizontal="center" vertical="center"/>
    </xf>
    <xf numFmtId="0" fontId="1" fillId="0" borderId="4" xfId="46" applyNumberFormat="1" applyFont="1" applyBorder="1" applyAlignment="1">
      <alignment horizontal="right" vertical="center" wrapText="1"/>
    </xf>
    <xf numFmtId="0" fontId="1" fillId="0" borderId="1" xfId="39" applyNumberFormat="1" applyFont="1" applyBorder="1" applyAlignment="1">
      <alignment horizontal="left" vertical="center" wrapText="1"/>
    </xf>
    <xf numFmtId="164" fontId="1" fillId="0" borderId="1" xfId="39" applyNumberFormat="1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3" fontId="1" fillId="0" borderId="17" xfId="46" applyNumberFormat="1" applyFont="1" applyBorder="1" applyAlignment="1">
      <alignment vertical="center" wrapText="1"/>
    </xf>
    <xf numFmtId="167" fontId="17" fillId="0" borderId="16" xfId="39" applyNumberFormat="1" applyFont="1" applyBorder="1" applyAlignment="1">
      <alignment horizontal="center" vertical="center" wrapText="1"/>
    </xf>
    <xf numFmtId="167" fontId="1" fillId="0" borderId="19" xfId="27" applyNumberFormat="1" applyFont="1" applyBorder="1" applyAlignment="1">
      <alignment horizontal="center" vertical="center" wrapText="1"/>
    </xf>
    <xf numFmtId="164" fontId="1" fillId="0" borderId="3" xfId="27" applyFont="1" applyBorder="1" applyAlignment="1">
      <alignment horizontal="justify" vertical="center" wrapText="1"/>
    </xf>
    <xf numFmtId="164" fontId="1" fillId="0" borderId="3" xfId="27" applyFont="1" applyBorder="1" applyAlignment="1">
      <alignment horizontal="center" vertical="center" wrapText="1"/>
    </xf>
    <xf numFmtId="164" fontId="2" fillId="3" borderId="3" xfId="27" applyFont="1" applyFill="1" applyBorder="1" applyAlignment="1">
      <alignment vertical="center" wrapText="1"/>
    </xf>
    <xf numFmtId="2" fontId="2" fillId="3" borderId="20" xfId="27" applyNumberFormat="1" applyFont="1" applyFill="1" applyBorder="1" applyAlignment="1">
      <alignment vertical="center" wrapText="1"/>
    </xf>
    <xf numFmtId="0" fontId="17" fillId="0" borderId="1" xfId="41" applyNumberFormat="1" applyFont="1" applyFill="1" applyBorder="1" applyAlignment="1">
      <alignment horizontal="center" vertical="center" wrapText="1"/>
    </xf>
    <xf numFmtId="0" fontId="1" fillId="0" borderId="1" xfId="41" applyNumberFormat="1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right" vertical="center"/>
    </xf>
    <xf numFmtId="0" fontId="7" fillId="0" borderId="0" xfId="5" applyFont="1" applyFill="1" applyBorder="1" applyAlignment="1">
      <alignment horizontal="right" vertical="center"/>
    </xf>
    <xf numFmtId="0" fontId="7" fillId="7" borderId="0" xfId="5" applyFont="1" applyFill="1" applyBorder="1" applyAlignment="1">
      <alignment horizontal="right" vertical="center"/>
    </xf>
    <xf numFmtId="2" fontId="7" fillId="0" borderId="0" xfId="5" applyNumberFormat="1" applyFont="1" applyFill="1" applyBorder="1" applyAlignment="1">
      <alignment horizontal="right" vertical="center"/>
    </xf>
    <xf numFmtId="166" fontId="1" fillId="6" borderId="0" xfId="8" applyNumberFormat="1" applyFont="1" applyFill="1" applyBorder="1" applyAlignment="1">
      <alignment horizontal="right" vertical="center" wrapText="1"/>
    </xf>
    <xf numFmtId="2" fontId="7" fillId="7" borderId="0" xfId="5" applyNumberFormat="1" applyFont="1" applyFill="1" applyBorder="1" applyAlignment="1">
      <alignment horizontal="right" vertical="center"/>
    </xf>
    <xf numFmtId="2" fontId="7" fillId="2" borderId="0" xfId="5" applyNumberFormat="1" applyFont="1" applyFill="1" applyBorder="1" applyAlignment="1">
      <alignment horizontal="right" vertical="center"/>
    </xf>
    <xf numFmtId="0" fontId="7" fillId="0" borderId="0" xfId="5" applyFont="1" applyBorder="1" applyAlignment="1">
      <alignment horizontal="right" vertical="center"/>
    </xf>
    <xf numFmtId="166" fontId="1" fillId="0" borderId="17" xfId="8" applyNumberFormat="1" applyFont="1" applyFill="1" applyBorder="1" applyAlignment="1">
      <alignment horizontal="right" vertical="center" wrapText="1"/>
    </xf>
    <xf numFmtId="164" fontId="1" fillId="0" borderId="17" xfId="26" applyNumberFormat="1" applyFont="1" applyFill="1" applyBorder="1" applyAlignment="1">
      <alignment horizontal="center" vertical="center"/>
    </xf>
    <xf numFmtId="166" fontId="1" fillId="0" borderId="28" xfId="8" applyNumberFormat="1" applyFont="1" applyFill="1" applyBorder="1" applyAlignment="1">
      <alignment horizontal="center" vertical="center" wrapText="1"/>
    </xf>
    <xf numFmtId="0" fontId="2" fillId="5" borderId="16" xfId="26" applyFont="1" applyFill="1" applyBorder="1" applyAlignment="1">
      <alignment horizontal="center" vertical="top"/>
    </xf>
    <xf numFmtId="0" fontId="1" fillId="0" borderId="16" xfId="26" applyFont="1" applyFill="1" applyBorder="1" applyAlignment="1">
      <alignment horizontal="center" vertical="center"/>
    </xf>
    <xf numFmtId="164" fontId="1" fillId="0" borderId="17" xfId="27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/>
    </xf>
    <xf numFmtId="2" fontId="1" fillId="0" borderId="17" xfId="27" applyNumberFormat="1" applyFont="1" applyBorder="1" applyAlignment="1">
      <alignment vertical="center" wrapText="1"/>
    </xf>
    <xf numFmtId="167" fontId="1" fillId="6" borderId="16" xfId="41" applyNumberFormat="1" applyFont="1" applyFill="1" applyBorder="1" applyAlignment="1">
      <alignment horizontal="center" vertical="center" wrapText="1"/>
    </xf>
    <xf numFmtId="167" fontId="2" fillId="3" borderId="16" xfId="41" applyNumberFormat="1" applyFont="1" applyFill="1" applyBorder="1" applyAlignment="1">
      <alignment vertical="center" wrapText="1"/>
    </xf>
    <xf numFmtId="164" fontId="2" fillId="3" borderId="17" xfId="41" applyFont="1" applyFill="1" applyBorder="1" applyAlignment="1">
      <alignment horizontal="center" vertical="center" wrapText="1"/>
    </xf>
    <xf numFmtId="167" fontId="1" fillId="5" borderId="16" xfId="41" applyNumberFormat="1" applyFont="1" applyFill="1" applyBorder="1" applyAlignment="1">
      <alignment horizontal="center" vertical="center" wrapText="1"/>
    </xf>
    <xf numFmtId="164" fontId="1" fillId="5" borderId="17" xfId="41" applyFont="1" applyFill="1" applyBorder="1" applyAlignment="1">
      <alignment horizontal="center" vertical="center" wrapText="1"/>
    </xf>
    <xf numFmtId="0" fontId="1" fillId="6" borderId="16" xfId="41" applyNumberFormat="1" applyFont="1" applyFill="1" applyBorder="1" applyAlignment="1">
      <alignment horizontal="center" vertical="center" wrapText="1"/>
    </xf>
    <xf numFmtId="164" fontId="1" fillId="6" borderId="17" xfId="41" applyFont="1" applyFill="1" applyBorder="1" applyAlignment="1">
      <alignment horizontal="center" vertical="center" wrapText="1"/>
    </xf>
    <xf numFmtId="164" fontId="2" fillId="3" borderId="17" xfId="41" applyFont="1" applyFill="1" applyBorder="1" applyAlignment="1">
      <alignment vertical="center" wrapText="1"/>
    </xf>
    <xf numFmtId="164" fontId="1" fillId="5" borderId="17" xfId="41" applyFont="1" applyFill="1" applyBorder="1" applyAlignment="1">
      <alignment vertical="center" wrapText="1"/>
    </xf>
    <xf numFmtId="164" fontId="1" fillId="0" borderId="17" xfId="41" applyFont="1" applyBorder="1" applyAlignment="1">
      <alignment vertical="center" wrapText="1"/>
    </xf>
    <xf numFmtId="167" fontId="1" fillId="0" borderId="16" xfId="41" applyNumberFormat="1" applyFont="1" applyFill="1" applyBorder="1" applyAlignment="1">
      <alignment horizontal="center" vertical="center" wrapText="1"/>
    </xf>
    <xf numFmtId="167" fontId="1" fillId="5" borderId="19" xfId="41" applyNumberFormat="1" applyFont="1" applyFill="1" applyBorder="1" applyAlignment="1">
      <alignment horizontal="center" vertical="center" wrapText="1"/>
    </xf>
    <xf numFmtId="164" fontId="2" fillId="5" borderId="20" xfId="41" applyNumberFormat="1" applyFont="1" applyFill="1" applyBorder="1" applyAlignment="1">
      <alignment horizontal="right" vertical="center" wrapText="1"/>
    </xf>
    <xf numFmtId="167" fontId="1" fillId="0" borderId="21" xfId="43" applyNumberFormat="1" applyFont="1" applyBorder="1" applyAlignment="1">
      <alignment horizontal="center" vertical="center" wrapText="1"/>
    </xf>
    <xf numFmtId="167" fontId="1" fillId="0" borderId="16" xfId="43" applyNumberFormat="1" applyFont="1" applyBorder="1" applyAlignment="1">
      <alignment horizontal="center" vertical="center" wrapText="1"/>
    </xf>
    <xf numFmtId="164" fontId="2" fillId="6" borderId="18" xfId="43" applyFont="1" applyFill="1" applyBorder="1" applyAlignment="1">
      <alignment vertical="top" wrapText="1"/>
    </xf>
    <xf numFmtId="164" fontId="1" fillId="0" borderId="17" xfId="43" applyFont="1" applyFill="1" applyBorder="1" applyAlignment="1">
      <alignment vertical="center" wrapText="1"/>
    </xf>
    <xf numFmtId="167" fontId="2" fillId="3" borderId="16" xfId="43" applyNumberFormat="1" applyFont="1" applyFill="1" applyBorder="1" applyAlignment="1">
      <alignment vertical="center" wrapText="1"/>
    </xf>
    <xf numFmtId="164" fontId="2" fillId="3" borderId="17" xfId="43" applyFont="1" applyFill="1" applyBorder="1" applyAlignment="1">
      <alignment horizontal="center" vertical="center" wrapText="1"/>
    </xf>
    <xf numFmtId="167" fontId="1" fillId="5" borderId="16" xfId="43" applyNumberFormat="1" applyFont="1" applyFill="1" applyBorder="1" applyAlignment="1">
      <alignment horizontal="center" vertical="center" wrapText="1"/>
    </xf>
    <xf numFmtId="164" fontId="1" fillId="5" borderId="17" xfId="43" applyFont="1" applyFill="1" applyBorder="1" applyAlignment="1">
      <alignment horizontal="center" vertical="center" wrapText="1"/>
    </xf>
    <xf numFmtId="0" fontId="1" fillId="6" borderId="16" xfId="43" applyNumberFormat="1" applyFont="1" applyFill="1" applyBorder="1" applyAlignment="1">
      <alignment horizontal="center" vertical="center" wrapText="1"/>
    </xf>
    <xf numFmtId="2" fontId="1" fillId="0" borderId="17" xfId="41" applyNumberFormat="1" applyFont="1" applyFill="1" applyBorder="1" applyAlignment="1">
      <alignment horizontal="right" vertical="center" wrapText="1"/>
    </xf>
    <xf numFmtId="0" fontId="1" fillId="0" borderId="16" xfId="5" applyFont="1" applyFill="1" applyBorder="1" applyAlignment="1">
      <alignment horizontal="center" vertical="center" wrapText="1"/>
    </xf>
    <xf numFmtId="0" fontId="1" fillId="0" borderId="16" xfId="43" applyNumberFormat="1" applyFont="1" applyFill="1" applyBorder="1" applyAlignment="1">
      <alignment horizontal="center" vertical="center" wrapText="1"/>
    </xf>
    <xf numFmtId="0" fontId="1" fillId="0" borderId="16" xfId="5" applyFont="1" applyFill="1" applyBorder="1" applyAlignment="1">
      <alignment horizontal="center" vertical="center"/>
    </xf>
    <xf numFmtId="164" fontId="2" fillId="3" borderId="17" xfId="43" applyFont="1" applyFill="1" applyBorder="1" applyAlignment="1">
      <alignment vertical="center" wrapText="1"/>
    </xf>
    <xf numFmtId="167" fontId="2" fillId="0" borderId="16" xfId="43" applyNumberFormat="1" applyFont="1" applyFill="1" applyBorder="1" applyAlignment="1">
      <alignment vertical="center" wrapText="1"/>
    </xf>
    <xf numFmtId="164" fontId="2" fillId="0" borderId="17" xfId="43" applyFont="1" applyFill="1" applyBorder="1" applyAlignment="1">
      <alignment horizontal="center" vertical="center" wrapText="1"/>
    </xf>
    <xf numFmtId="167" fontId="1" fillId="5" borderId="19" xfId="43" applyNumberFormat="1" applyFont="1" applyFill="1" applyBorder="1" applyAlignment="1">
      <alignment horizontal="center" vertical="center" wrapText="1"/>
    </xf>
    <xf numFmtId="164" fontId="2" fillId="5" borderId="20" xfId="43" applyNumberFormat="1" applyFont="1" applyFill="1" applyBorder="1" applyAlignment="1">
      <alignment horizontal="right" vertical="center" wrapText="1"/>
    </xf>
    <xf numFmtId="0" fontId="0" fillId="0" borderId="0" xfId="0" applyBorder="1"/>
    <xf numFmtId="17" fontId="5" fillId="0" borderId="29" xfId="5" applyNumberFormat="1" applyFont="1" applyFill="1" applyBorder="1" applyAlignment="1">
      <alignment horizontal="center" vertical="center"/>
    </xf>
    <xf numFmtId="0" fontId="1" fillId="0" borderId="32" xfId="5" applyNumberFormat="1" applyFont="1" applyFill="1" applyBorder="1" applyAlignment="1"/>
    <xf numFmtId="0" fontId="1" fillId="0" borderId="33" xfId="5" applyNumberFormat="1" applyFont="1" applyFill="1" applyBorder="1" applyAlignment="1"/>
    <xf numFmtId="0" fontId="0" fillId="0" borderId="0" xfId="0" applyAlignment="1">
      <alignment wrapText="1"/>
    </xf>
    <xf numFmtId="0" fontId="23" fillId="0" borderId="15" xfId="5" applyFont="1" applyBorder="1" applyAlignment="1">
      <alignment vertical="center" wrapText="1"/>
    </xf>
    <xf numFmtId="17" fontId="5" fillId="5" borderId="17" xfId="5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 wrapText="1"/>
    </xf>
    <xf numFmtId="164" fontId="2" fillId="4" borderId="17" xfId="39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vertical="center"/>
    </xf>
    <xf numFmtId="164" fontId="2" fillId="5" borderId="17" xfId="39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164" fontId="1" fillId="0" borderId="17" xfId="39" applyFont="1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44" fontId="0" fillId="0" borderId="17" xfId="0" applyNumberFormat="1" applyFill="1" applyBorder="1"/>
    <xf numFmtId="0" fontId="2" fillId="4" borderId="19" xfId="0" applyFont="1" applyFill="1" applyBorder="1" applyAlignment="1">
      <alignment horizontal="center"/>
    </xf>
    <xf numFmtId="164" fontId="2" fillId="4" borderId="20" xfId="39" applyFont="1" applyFill="1" applyBorder="1"/>
    <xf numFmtId="0" fontId="2" fillId="5" borderId="1" xfId="26" applyFont="1" applyFill="1" applyBorder="1" applyAlignment="1"/>
    <xf numFmtId="0" fontId="2" fillId="5" borderId="2" xfId="5" applyNumberFormat="1" applyFont="1" applyFill="1" applyBorder="1" applyAlignment="1"/>
    <xf numFmtId="0" fontId="2" fillId="5" borderId="6" xfId="5" applyNumberFormat="1" applyFont="1" applyFill="1" applyBorder="1" applyAlignment="1"/>
    <xf numFmtId="0" fontId="2" fillId="5" borderId="18" xfId="5" applyNumberFormat="1" applyFont="1" applyFill="1" applyBorder="1" applyAlignment="1"/>
    <xf numFmtId="0" fontId="2" fillId="5" borderId="1" xfId="5" applyNumberFormat="1" applyFont="1" applyFill="1" applyBorder="1" applyAlignment="1"/>
    <xf numFmtId="168" fontId="2" fillId="5" borderId="0" xfId="51" applyFont="1" applyFill="1" applyBorder="1"/>
    <xf numFmtId="0" fontId="0" fillId="5" borderId="0" xfId="0" applyFill="1" applyBorder="1"/>
    <xf numFmtId="0" fontId="0" fillId="5" borderId="39" xfId="0" applyFill="1" applyBorder="1"/>
    <xf numFmtId="0" fontId="2" fillId="5" borderId="31" xfId="0" applyFont="1" applyFill="1" applyBorder="1"/>
    <xf numFmtId="168" fontId="2" fillId="5" borderId="10" xfId="51" applyFont="1" applyFill="1" applyBorder="1" applyAlignment="1">
      <alignment horizontal="center"/>
    </xf>
    <xf numFmtId="0" fontId="0" fillId="5" borderId="10" xfId="0" applyFill="1" applyBorder="1"/>
    <xf numFmtId="0" fontId="0" fillId="5" borderId="30" xfId="0" applyFill="1" applyBorder="1"/>
    <xf numFmtId="40" fontId="2" fillId="8" borderId="1" xfId="50" applyNumberFormat="1" applyFont="1" applyFill="1" applyBorder="1" applyAlignment="1">
      <alignment horizontal="center" vertical="center"/>
    </xf>
    <xf numFmtId="40" fontId="2" fillId="8" borderId="17" xfId="50" applyNumberFormat="1" applyFont="1" applyFill="1" applyBorder="1" applyAlignment="1">
      <alignment horizontal="center" vertical="center"/>
    </xf>
    <xf numFmtId="0" fontId="2" fillId="0" borderId="16" xfId="50" applyFont="1" applyFill="1" applyBorder="1" applyAlignment="1">
      <alignment horizontal="center" vertical="center"/>
    </xf>
    <xf numFmtId="0" fontId="2" fillId="0" borderId="1" xfId="50" quotePrefix="1" applyFont="1" applyFill="1" applyBorder="1" applyAlignment="1">
      <alignment horizontal="center" vertical="center"/>
    </xf>
    <xf numFmtId="164" fontId="2" fillId="0" borderId="1" xfId="39" applyFont="1" applyFill="1" applyBorder="1" applyAlignment="1">
      <alignment horizontal="center" vertical="center" wrapText="1"/>
    </xf>
    <xf numFmtId="40" fontId="2" fillId="0" borderId="1" xfId="50" applyNumberFormat="1" applyFont="1" applyFill="1" applyBorder="1" applyAlignment="1">
      <alignment horizontal="center" vertical="center"/>
    </xf>
    <xf numFmtId="40" fontId="2" fillId="0" borderId="7" xfId="50" applyNumberFormat="1" applyFont="1" applyFill="1" applyBorder="1" applyAlignment="1">
      <alignment horizontal="center" vertical="center"/>
    </xf>
    <xf numFmtId="40" fontId="2" fillId="0" borderId="28" xfId="50" applyNumberFormat="1" applyFont="1" applyFill="1" applyBorder="1" applyAlignment="1">
      <alignment horizontal="center" vertical="center"/>
    </xf>
    <xf numFmtId="0" fontId="1" fillId="0" borderId="16" xfId="50" applyFont="1" applyFill="1" applyBorder="1" applyAlignment="1">
      <alignment horizontal="center" vertical="top"/>
    </xf>
    <xf numFmtId="0" fontId="2" fillId="9" borderId="1" xfId="0" applyFont="1" applyFill="1" applyBorder="1" applyAlignment="1">
      <alignment vertical="center"/>
    </xf>
    <xf numFmtId="164" fontId="1" fillId="9" borderId="1" xfId="39" applyFont="1" applyFill="1" applyBorder="1" applyAlignment="1">
      <alignment vertical="center"/>
    </xf>
    <xf numFmtId="164" fontId="1" fillId="0" borderId="1" xfId="52" applyFont="1" applyFill="1" applyBorder="1" applyAlignment="1">
      <alignment horizontal="center" vertical="center"/>
    </xf>
    <xf numFmtId="164" fontId="1" fillId="0" borderId="17" xfId="52" applyFont="1" applyFill="1" applyBorder="1" applyAlignment="1">
      <alignment horizontal="center" vertical="center"/>
    </xf>
    <xf numFmtId="0" fontId="1" fillId="0" borderId="16" xfId="5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164" fontId="1" fillId="0" borderId="1" xfId="39" applyFont="1" applyFill="1" applyBorder="1" applyAlignment="1">
      <alignment horizontal="center" vertical="center"/>
    </xf>
    <xf numFmtId="10" fontId="1" fillId="0" borderId="1" xfId="45" applyNumberFormat="1" applyFont="1" applyFill="1" applyBorder="1" applyAlignment="1">
      <alignment horizontal="right" vertical="center"/>
    </xf>
    <xf numFmtId="10" fontId="1" fillId="0" borderId="7" xfId="45" applyNumberFormat="1" applyFont="1" applyFill="1" applyBorder="1" applyAlignment="1">
      <alignment horizontal="right" vertical="center"/>
    </xf>
    <xf numFmtId="10" fontId="1" fillId="0" borderId="28" xfId="45" applyNumberFormat="1" applyFont="1" applyFill="1" applyBorder="1" applyAlignment="1">
      <alignment horizontal="right" vertical="center"/>
    </xf>
    <xf numFmtId="0" fontId="1" fillId="0" borderId="1" xfId="50" applyFont="1" applyFill="1" applyBorder="1" applyAlignment="1">
      <alignment horizontal="left" vertical="top"/>
    </xf>
    <xf numFmtId="164" fontId="1" fillId="0" borderId="1" xfId="39" applyFont="1" applyFill="1" applyBorder="1" applyAlignment="1">
      <alignment horizontal="left" vertical="top"/>
    </xf>
    <xf numFmtId="10" fontId="1" fillId="0" borderId="17" xfId="45" applyNumberFormat="1" applyFont="1" applyFill="1" applyBorder="1" applyAlignment="1">
      <alignment horizontal="right" vertical="center"/>
    </xf>
    <xf numFmtId="0" fontId="13" fillId="0" borderId="1" xfId="53" applyFont="1" applyBorder="1" applyAlignment="1">
      <alignment horizontal="left" vertical="center"/>
    </xf>
    <xf numFmtId="0" fontId="1" fillId="0" borderId="16" xfId="50" quotePrefix="1" applyFont="1" applyFill="1" applyBorder="1" applyAlignment="1">
      <alignment horizontal="center" vertical="top"/>
    </xf>
    <xf numFmtId="0" fontId="1" fillId="0" borderId="39" xfId="50" applyFont="1" applyFill="1" applyBorder="1" applyAlignment="1">
      <alignment vertical="center"/>
    </xf>
    <xf numFmtId="0" fontId="1" fillId="0" borderId="1" xfId="50" applyFont="1" applyFill="1" applyBorder="1" applyAlignment="1">
      <alignment horizontal="left" vertical="center"/>
    </xf>
    <xf numFmtId="0" fontId="2" fillId="0" borderId="32" xfId="0" applyFont="1" applyBorder="1"/>
    <xf numFmtId="0" fontId="2" fillId="0" borderId="4" xfId="0" applyFont="1" applyBorder="1"/>
    <xf numFmtId="164" fontId="2" fillId="9" borderId="1" xfId="39" applyFont="1" applyFill="1" applyBorder="1" applyAlignment="1"/>
    <xf numFmtId="164" fontId="2" fillId="0" borderId="1" xfId="52" applyFont="1" applyFill="1" applyBorder="1" applyAlignment="1">
      <alignment horizontal="right" vertical="center"/>
    </xf>
    <xf numFmtId="164" fontId="2" fillId="0" borderId="17" xfId="52" applyFont="1" applyFill="1" applyBorder="1" applyAlignment="1">
      <alignment horizontal="right" vertical="center"/>
    </xf>
    <xf numFmtId="164" fontId="2" fillId="0" borderId="1" xfId="39" applyFont="1" applyBorder="1" applyAlignment="1"/>
    <xf numFmtId="10" fontId="2" fillId="0" borderId="1" xfId="45" applyNumberFormat="1" applyFont="1" applyFill="1" applyBorder="1" applyAlignment="1">
      <alignment horizontal="right" vertical="center"/>
    </xf>
    <xf numFmtId="10" fontId="2" fillId="0" borderId="17" xfId="45" applyNumberFormat="1" applyFont="1" applyFill="1" applyBorder="1" applyAlignment="1">
      <alignment horizontal="right" vertical="center"/>
    </xf>
    <xf numFmtId="0" fontId="2" fillId="0" borderId="33" xfId="0" applyFont="1" applyBorder="1"/>
    <xf numFmtId="0" fontId="2" fillId="0" borderId="26" xfId="0" applyFont="1" applyBorder="1"/>
    <xf numFmtId="10" fontId="2" fillId="0" borderId="3" xfId="0" applyNumberFormat="1" applyFont="1" applyBorder="1" applyAlignment="1"/>
    <xf numFmtId="10" fontId="2" fillId="0" borderId="3" xfId="45" applyNumberFormat="1" applyFont="1" applyFill="1" applyBorder="1" applyAlignment="1">
      <alignment horizontal="right" vertical="center"/>
    </xf>
    <xf numFmtId="10" fontId="2" fillId="0" borderId="20" xfId="45" applyNumberFormat="1" applyFont="1" applyFill="1" applyBorder="1" applyAlignment="1">
      <alignment horizontal="right" vertical="center"/>
    </xf>
    <xf numFmtId="0" fontId="9" fillId="0" borderId="2" xfId="5" applyFont="1" applyBorder="1" applyAlignment="1">
      <alignment vertical="center" wrapText="1"/>
    </xf>
    <xf numFmtId="0" fontId="9" fillId="0" borderId="6" xfId="5" applyFont="1" applyBorder="1" applyAlignment="1">
      <alignment vertical="center" wrapText="1"/>
    </xf>
    <xf numFmtId="0" fontId="9" fillId="0" borderId="6" xfId="5" applyFont="1" applyBorder="1" applyAlignment="1">
      <alignment vertical="center"/>
    </xf>
    <xf numFmtId="0" fontId="1" fillId="6" borderId="1" xfId="6" applyNumberFormat="1" applyFont="1" applyFill="1" applyBorder="1" applyAlignment="1" applyProtection="1">
      <alignment horizontal="center" vertical="center" wrapText="1"/>
    </xf>
    <xf numFmtId="0" fontId="17" fillId="6" borderId="1" xfId="6" applyNumberFormat="1" applyFont="1" applyFill="1" applyBorder="1" applyAlignment="1">
      <alignment horizontal="justify" vertical="justify" wrapText="1"/>
    </xf>
    <xf numFmtId="2" fontId="1" fillId="6" borderId="1" xfId="1" applyNumberFormat="1" applyFont="1" applyFill="1" applyBorder="1" applyAlignment="1">
      <alignment horizontal="right" vertical="center"/>
    </xf>
    <xf numFmtId="0" fontId="1" fillId="6" borderId="4" xfId="5" applyFont="1" applyFill="1" applyBorder="1" applyAlignment="1">
      <alignment horizontal="center" vertical="center"/>
    </xf>
    <xf numFmtId="164" fontId="1" fillId="6" borderId="1" xfId="8" applyFont="1" applyFill="1" applyBorder="1" applyAlignment="1">
      <alignment horizontal="center" vertical="center"/>
    </xf>
    <xf numFmtId="164" fontId="1" fillId="6" borderId="7" xfId="27" applyFont="1" applyFill="1" applyBorder="1" applyAlignment="1">
      <alignment horizontal="center" vertical="center"/>
    </xf>
    <xf numFmtId="164" fontId="7" fillId="0" borderId="1" xfId="37" applyFont="1" applyFill="1" applyBorder="1" applyAlignment="1">
      <alignment horizontal="center" wrapText="1"/>
    </xf>
    <xf numFmtId="0" fontId="1" fillId="0" borderId="1" xfId="12" applyFont="1" applyFill="1" applyBorder="1" applyAlignment="1">
      <alignment horizontal="justify" vertical="center" wrapText="1"/>
    </xf>
    <xf numFmtId="0" fontId="1" fillId="6" borderId="1" xfId="12" applyFont="1" applyFill="1" applyBorder="1" applyAlignment="1">
      <alignment horizontal="center" vertical="center" wrapText="1"/>
    </xf>
    <xf numFmtId="0" fontId="1" fillId="6" borderId="1" xfId="26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5" xfId="3" applyFont="1" applyFill="1" applyBorder="1" applyAlignment="1">
      <alignment horizontal="center" vertical="center"/>
    </xf>
    <xf numFmtId="0" fontId="2" fillId="4" borderId="1" xfId="3" applyFont="1" applyFill="1" applyBorder="1" applyAlignment="1">
      <alignment horizontal="center" vertical="center"/>
    </xf>
    <xf numFmtId="0" fontId="2" fillId="4" borderId="12" xfId="3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wrapText="1"/>
    </xf>
    <xf numFmtId="0" fontId="2" fillId="4" borderId="22" xfId="3" applyFont="1" applyFill="1" applyBorder="1" applyAlignment="1">
      <alignment horizontal="center" vertical="center"/>
    </xf>
    <xf numFmtId="0" fontId="2" fillId="4" borderId="21" xfId="3" applyFont="1" applyFill="1" applyBorder="1" applyAlignment="1">
      <alignment horizontal="center" vertical="center"/>
    </xf>
    <xf numFmtId="0" fontId="2" fillId="4" borderId="16" xfId="3" applyFont="1" applyFill="1" applyBorder="1" applyAlignment="1">
      <alignment horizontal="center" vertical="center"/>
    </xf>
    <xf numFmtId="0" fontId="2" fillId="0" borderId="3" xfId="5" applyNumberFormat="1" applyFont="1" applyFill="1" applyBorder="1" applyAlignment="1">
      <alignment horizontal="left"/>
    </xf>
    <xf numFmtId="0" fontId="2" fillId="0" borderId="20" xfId="5" applyNumberFormat="1" applyFont="1" applyFill="1" applyBorder="1" applyAlignment="1">
      <alignment horizontal="left"/>
    </xf>
    <xf numFmtId="0" fontId="9" fillId="0" borderId="13" xfId="5" applyFont="1" applyBorder="1" applyAlignment="1">
      <alignment horizontal="left" vertical="center" wrapText="1"/>
    </xf>
    <xf numFmtId="0" fontId="9" fillId="0" borderId="14" xfId="5" applyFont="1" applyBorder="1" applyAlignment="1">
      <alignment horizontal="left" vertical="center" wrapText="1"/>
    </xf>
    <xf numFmtId="0" fontId="9" fillId="0" borderId="14" xfId="5" applyFont="1" applyBorder="1" applyAlignment="1">
      <alignment horizontal="left" vertical="center"/>
    </xf>
    <xf numFmtId="0" fontId="9" fillId="0" borderId="15" xfId="5" applyFont="1" applyBorder="1" applyAlignment="1">
      <alignment horizontal="left" vertical="center"/>
    </xf>
    <xf numFmtId="0" fontId="5" fillId="0" borderId="16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4" fillId="0" borderId="16" xfId="5" applyNumberFormat="1" applyFont="1" applyFill="1" applyBorder="1" applyAlignment="1">
      <alignment horizontal="left"/>
    </xf>
    <xf numFmtId="0" fontId="4" fillId="0" borderId="1" xfId="5" applyNumberFormat="1" applyFont="1" applyFill="1" applyBorder="1" applyAlignment="1">
      <alignment horizontal="left"/>
    </xf>
    <xf numFmtId="0" fontId="2" fillId="0" borderId="2" xfId="2" applyFont="1" applyFill="1" applyBorder="1" applyAlignment="1">
      <alignment horizontal="left" wrapText="1"/>
    </xf>
    <xf numFmtId="0" fontId="2" fillId="0" borderId="6" xfId="2" applyFont="1" applyFill="1" applyBorder="1" applyAlignment="1">
      <alignment horizontal="left" wrapText="1"/>
    </xf>
    <xf numFmtId="0" fontId="2" fillId="0" borderId="18" xfId="2" applyFont="1" applyFill="1" applyBorder="1" applyAlignment="1">
      <alignment horizontal="left" wrapText="1"/>
    </xf>
    <xf numFmtId="0" fontId="2" fillId="0" borderId="1" xfId="5" applyNumberFormat="1" applyFont="1" applyFill="1" applyBorder="1" applyAlignment="1">
      <alignment horizontal="left"/>
    </xf>
    <xf numFmtId="0" fontId="2" fillId="0" borderId="17" xfId="5" applyNumberFormat="1" applyFont="1" applyFill="1" applyBorder="1" applyAlignment="1">
      <alignment horizontal="left"/>
    </xf>
    <xf numFmtId="0" fontId="4" fillId="0" borderId="19" xfId="5" applyNumberFormat="1" applyFont="1" applyFill="1" applyBorder="1" applyAlignment="1">
      <alignment horizontal="left"/>
    </xf>
    <xf numFmtId="0" fontId="4" fillId="0" borderId="3" xfId="5" applyNumberFormat="1" applyFont="1" applyFill="1" applyBorder="1" applyAlignment="1">
      <alignment horizontal="left"/>
    </xf>
    <xf numFmtId="0" fontId="8" fillId="4" borderId="2" xfId="36" applyFont="1" applyFill="1" applyBorder="1" applyAlignment="1">
      <alignment horizontal="center" vertical="center"/>
    </xf>
    <xf numFmtId="0" fontId="8" fillId="4" borderId="6" xfId="36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0" borderId="2" xfId="36" applyNumberFormat="1" applyFont="1" applyFill="1" applyBorder="1" applyAlignment="1">
      <alignment horizontal="center"/>
    </xf>
    <xf numFmtId="0" fontId="4" fillId="0" borderId="4" xfId="36" applyNumberFormat="1" applyFont="1" applyFill="1" applyBorder="1" applyAlignment="1">
      <alignment horizontal="center"/>
    </xf>
    <xf numFmtId="0" fontId="8" fillId="3" borderId="2" xfId="36" applyFont="1" applyFill="1" applyBorder="1" applyAlignment="1">
      <alignment horizontal="center" vertical="center"/>
    </xf>
    <xf numFmtId="0" fontId="8" fillId="3" borderId="6" xfId="36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3" borderId="9" xfId="36" applyFont="1" applyFill="1" applyBorder="1" applyAlignment="1">
      <alignment horizontal="center"/>
    </xf>
    <xf numFmtId="0" fontId="8" fillId="3" borderId="10" xfId="36" applyFont="1" applyFill="1" applyBorder="1" applyAlignment="1">
      <alignment horizontal="center"/>
    </xf>
    <xf numFmtId="0" fontId="8" fillId="3" borderId="11" xfId="36" applyFont="1" applyFill="1" applyBorder="1" applyAlignment="1">
      <alignment horizontal="center"/>
    </xf>
    <xf numFmtId="0" fontId="2" fillId="0" borderId="1" xfId="36" applyNumberFormat="1" applyFont="1" applyFill="1" applyBorder="1" applyAlignment="1">
      <alignment horizontal="left"/>
    </xf>
    <xf numFmtId="0" fontId="9" fillId="0" borderId="1" xfId="36" applyFont="1" applyBorder="1" applyAlignment="1">
      <alignment horizontal="left" vertical="center" wrapText="1"/>
    </xf>
    <xf numFmtId="0" fontId="9" fillId="0" borderId="8" xfId="36" applyFont="1" applyBorder="1" applyAlignment="1">
      <alignment horizontal="left" vertical="center" wrapText="1"/>
    </xf>
    <xf numFmtId="0" fontId="5" fillId="0" borderId="1" xfId="36" applyFont="1" applyFill="1" applyBorder="1" applyAlignment="1">
      <alignment horizontal="center" vertical="center"/>
    </xf>
    <xf numFmtId="17" fontId="5" fillId="0" borderId="1" xfId="36" applyNumberFormat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164" fontId="19" fillId="5" borderId="2" xfId="43" applyFont="1" applyFill="1" applyBorder="1" applyAlignment="1">
      <alignment horizontal="center" vertical="top" wrapText="1"/>
    </xf>
    <xf numFmtId="164" fontId="19" fillId="5" borderId="4" xfId="43" applyFont="1" applyFill="1" applyBorder="1" applyAlignment="1">
      <alignment horizontal="center" vertical="top" wrapText="1"/>
    </xf>
    <xf numFmtId="164" fontId="1" fillId="0" borderId="5" xfId="41" applyFont="1" applyBorder="1" applyAlignment="1">
      <alignment horizontal="center" vertical="center" wrapText="1"/>
    </xf>
    <xf numFmtId="164" fontId="1" fillId="0" borderId="22" xfId="41" applyFont="1" applyBorder="1" applyAlignment="1">
      <alignment horizontal="center" vertical="center" wrapText="1"/>
    </xf>
    <xf numFmtId="0" fontId="1" fillId="6" borderId="2" xfId="41" applyNumberFormat="1" applyFont="1" applyFill="1" applyBorder="1" applyAlignment="1">
      <alignment horizontal="left" vertical="center" wrapText="1"/>
    </xf>
    <xf numFmtId="0" fontId="1" fillId="6" borderId="6" xfId="41" applyNumberFormat="1" applyFont="1" applyFill="1" applyBorder="1" applyAlignment="1">
      <alignment horizontal="left" vertical="center" wrapText="1"/>
    </xf>
    <xf numFmtId="0" fontId="1" fillId="6" borderId="18" xfId="41" applyNumberFormat="1" applyFont="1" applyFill="1" applyBorder="1" applyAlignment="1">
      <alignment horizontal="left" vertical="center" wrapText="1"/>
    </xf>
    <xf numFmtId="164" fontId="19" fillId="5" borderId="2" xfId="41" applyFont="1" applyFill="1" applyBorder="1" applyAlignment="1">
      <alignment horizontal="center" vertical="top" wrapText="1"/>
    </xf>
    <xf numFmtId="164" fontId="19" fillId="5" borderId="4" xfId="41" applyFont="1" applyFill="1" applyBorder="1" applyAlignment="1">
      <alignment horizontal="center" vertical="top" wrapText="1"/>
    </xf>
    <xf numFmtId="164" fontId="19" fillId="5" borderId="2" xfId="41" applyFont="1" applyFill="1" applyBorder="1" applyAlignment="1">
      <alignment horizontal="center" vertical="center" wrapText="1"/>
    </xf>
    <xf numFmtId="164" fontId="19" fillId="5" borderId="4" xfId="41" applyFont="1" applyFill="1" applyBorder="1" applyAlignment="1">
      <alignment horizontal="center" vertical="center" wrapText="1"/>
    </xf>
    <xf numFmtId="164" fontId="1" fillId="0" borderId="5" xfId="43" applyFont="1" applyBorder="1" applyAlignment="1">
      <alignment horizontal="center" vertical="center" wrapText="1"/>
    </xf>
    <xf numFmtId="164" fontId="1" fillId="0" borderId="22" xfId="43" applyFont="1" applyBorder="1" applyAlignment="1">
      <alignment horizontal="center" vertical="center" wrapText="1"/>
    </xf>
    <xf numFmtId="0" fontId="1" fillId="6" borderId="2" xfId="43" applyNumberFormat="1" applyFont="1" applyFill="1" applyBorder="1" applyAlignment="1">
      <alignment horizontal="left" vertical="top" wrapText="1"/>
    </xf>
    <xf numFmtId="0" fontId="1" fillId="6" borderId="6" xfId="43" applyNumberFormat="1" applyFont="1" applyFill="1" applyBorder="1" applyAlignment="1">
      <alignment horizontal="left" vertical="top" wrapText="1"/>
    </xf>
    <xf numFmtId="0" fontId="1" fillId="6" borderId="18" xfId="43" applyNumberFormat="1" applyFont="1" applyFill="1" applyBorder="1" applyAlignment="1">
      <alignment horizontal="left" vertical="top" wrapText="1"/>
    </xf>
    <xf numFmtId="167" fontId="1" fillId="6" borderId="0" xfId="46" applyNumberFormat="1" applyFont="1" applyFill="1" applyBorder="1" applyAlignment="1">
      <alignment horizontal="center" vertical="center" wrapText="1"/>
    </xf>
    <xf numFmtId="164" fontId="19" fillId="5" borderId="2" xfId="43" applyFont="1" applyFill="1" applyBorder="1" applyAlignment="1">
      <alignment horizontal="center" vertical="center" wrapText="1"/>
    </xf>
    <xf numFmtId="164" fontId="19" fillId="5" borderId="4" xfId="43" applyFont="1" applyFill="1" applyBorder="1" applyAlignment="1">
      <alignment horizontal="center" vertical="center" wrapText="1"/>
    </xf>
    <xf numFmtId="164" fontId="1" fillId="0" borderId="5" xfId="27" applyFont="1" applyBorder="1" applyAlignment="1">
      <alignment horizontal="center" vertical="center" wrapText="1"/>
    </xf>
    <xf numFmtId="164" fontId="1" fillId="0" borderId="22" xfId="27" applyFont="1" applyBorder="1" applyAlignment="1">
      <alignment horizontal="center" vertical="center" wrapText="1"/>
    </xf>
    <xf numFmtId="0" fontId="1" fillId="6" borderId="2" xfId="27" applyNumberFormat="1" applyFont="1" applyFill="1" applyBorder="1" applyAlignment="1">
      <alignment horizontal="left" vertical="center" wrapText="1"/>
    </xf>
    <xf numFmtId="0" fontId="1" fillId="6" borderId="6" xfId="27" applyNumberFormat="1" applyFont="1" applyFill="1" applyBorder="1" applyAlignment="1">
      <alignment horizontal="left" vertical="center" wrapText="1"/>
    </xf>
    <xf numFmtId="0" fontId="1" fillId="6" borderId="18" xfId="27" applyNumberFormat="1" applyFont="1" applyFill="1" applyBorder="1" applyAlignment="1">
      <alignment horizontal="left" vertical="center" wrapText="1"/>
    </xf>
    <xf numFmtId="164" fontId="19" fillId="5" borderId="2" xfId="27" applyFont="1" applyFill="1" applyBorder="1" applyAlignment="1">
      <alignment horizontal="center" vertical="top" wrapText="1"/>
    </xf>
    <xf numFmtId="164" fontId="19" fillId="5" borderId="4" xfId="27" applyFont="1" applyFill="1" applyBorder="1" applyAlignment="1">
      <alignment horizontal="center" vertical="top" wrapText="1"/>
    </xf>
    <xf numFmtId="164" fontId="19" fillId="5" borderId="2" xfId="27" applyFont="1" applyFill="1" applyBorder="1" applyAlignment="1">
      <alignment horizontal="center" vertical="center" wrapText="1"/>
    </xf>
    <xf numFmtId="164" fontId="19" fillId="5" borderId="4" xfId="27" applyFont="1" applyFill="1" applyBorder="1" applyAlignment="1">
      <alignment horizontal="center" vertical="center" wrapText="1"/>
    </xf>
    <xf numFmtId="0" fontId="9" fillId="0" borderId="15" xfId="5" applyFont="1" applyBorder="1" applyAlignment="1">
      <alignment horizontal="left" vertical="center" wrapText="1"/>
    </xf>
    <xf numFmtId="0" fontId="5" fillId="0" borderId="31" xfId="5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/>
    </xf>
    <xf numFmtId="0" fontId="5" fillId="0" borderId="11" xfId="5" applyFont="1" applyFill="1" applyBorder="1" applyAlignment="1">
      <alignment horizontal="center" vertical="center"/>
    </xf>
    <xf numFmtId="0" fontId="2" fillId="0" borderId="2" xfId="26" applyFont="1" applyFill="1" applyBorder="1" applyAlignment="1">
      <alignment horizontal="left" vertical="center" wrapText="1"/>
    </xf>
    <xf numFmtId="0" fontId="2" fillId="0" borderId="6" xfId="26" applyFont="1" applyFill="1" applyBorder="1" applyAlignment="1">
      <alignment horizontal="left" vertical="center" wrapText="1"/>
    </xf>
    <xf numFmtId="0" fontId="2" fillId="0" borderId="18" xfId="26" applyFont="1" applyFill="1" applyBorder="1" applyAlignment="1">
      <alignment horizontal="left" vertical="center" wrapText="1"/>
    </xf>
    <xf numFmtId="0" fontId="2" fillId="0" borderId="2" xfId="5" applyNumberFormat="1" applyFont="1" applyFill="1" applyBorder="1" applyAlignment="1">
      <alignment horizontal="left"/>
    </xf>
    <xf numFmtId="0" fontId="2" fillId="0" borderId="6" xfId="5" applyNumberFormat="1" applyFont="1" applyFill="1" applyBorder="1" applyAlignment="1">
      <alignment horizontal="left"/>
    </xf>
    <xf numFmtId="0" fontId="2" fillId="0" borderId="18" xfId="5" applyNumberFormat="1" applyFont="1" applyFill="1" applyBorder="1" applyAlignment="1">
      <alignment horizontal="left"/>
    </xf>
    <xf numFmtId="0" fontId="2" fillId="0" borderId="2" xfId="5" applyNumberFormat="1" applyFont="1" applyFill="1" applyBorder="1" applyAlignment="1">
      <alignment horizontal="left" wrapText="1"/>
    </xf>
    <xf numFmtId="0" fontId="2" fillId="0" borderId="6" xfId="5" applyNumberFormat="1" applyFont="1" applyFill="1" applyBorder="1" applyAlignment="1">
      <alignment horizontal="left" wrapText="1"/>
    </xf>
    <xf numFmtId="0" fontId="2" fillId="0" borderId="18" xfId="5" applyNumberFormat="1" applyFont="1" applyFill="1" applyBorder="1" applyAlignment="1">
      <alignment horizontal="left" wrapText="1"/>
    </xf>
    <xf numFmtId="0" fontId="2" fillId="0" borderId="24" xfId="5" applyNumberFormat="1" applyFont="1" applyFill="1" applyBorder="1" applyAlignment="1">
      <alignment horizontal="left"/>
    </xf>
    <xf numFmtId="0" fontId="2" fillId="0" borderId="25" xfId="5" applyNumberFormat="1" applyFont="1" applyFill="1" applyBorder="1" applyAlignment="1">
      <alignment horizontal="left"/>
    </xf>
    <xf numFmtId="0" fontId="2" fillId="0" borderId="34" xfId="5" applyNumberFormat="1" applyFont="1" applyFill="1" applyBorder="1" applyAlignment="1">
      <alignment horizontal="left"/>
    </xf>
    <xf numFmtId="164" fontId="1" fillId="0" borderId="23" xfId="41" applyFont="1" applyBorder="1" applyAlignment="1">
      <alignment horizontal="center" vertical="center" wrapText="1"/>
    </xf>
    <xf numFmtId="164" fontId="1" fillId="0" borderId="14" xfId="41" applyFont="1" applyBorder="1" applyAlignment="1">
      <alignment horizontal="center" vertical="center" wrapText="1"/>
    </xf>
    <xf numFmtId="164" fontId="1" fillId="0" borderId="15" xfId="41" applyFont="1" applyBorder="1" applyAlignment="1">
      <alignment horizontal="center" vertical="center" wrapText="1"/>
    </xf>
    <xf numFmtId="0" fontId="1" fillId="6" borderId="2" xfId="41" applyNumberFormat="1" applyFont="1" applyFill="1" applyBorder="1" applyAlignment="1">
      <alignment horizontal="left" vertical="top" wrapText="1"/>
    </xf>
    <xf numFmtId="0" fontId="1" fillId="6" borderId="6" xfId="41" applyNumberFormat="1" applyFont="1" applyFill="1" applyBorder="1" applyAlignment="1">
      <alignment horizontal="left" vertical="top" wrapText="1"/>
    </xf>
    <xf numFmtId="0" fontId="1" fillId="6" borderId="18" xfId="41" applyNumberFormat="1" applyFont="1" applyFill="1" applyBorder="1" applyAlignment="1">
      <alignment horizontal="left" vertical="top" wrapText="1"/>
    </xf>
    <xf numFmtId="164" fontId="1" fillId="0" borderId="23" xfId="27" applyFont="1" applyBorder="1" applyAlignment="1">
      <alignment horizontal="center" vertical="center" wrapText="1"/>
    </xf>
    <xf numFmtId="164" fontId="1" fillId="0" borderId="14" xfId="27" applyFont="1" applyBorder="1" applyAlignment="1">
      <alignment horizontal="center" vertical="center" wrapText="1"/>
    </xf>
    <xf numFmtId="164" fontId="1" fillId="0" borderId="15" xfId="27" applyFont="1" applyBorder="1" applyAlignment="1">
      <alignment horizontal="center" vertical="center" wrapText="1"/>
    </xf>
    <xf numFmtId="0" fontId="1" fillId="6" borderId="2" xfId="27" applyNumberFormat="1" applyFont="1" applyFill="1" applyBorder="1" applyAlignment="1">
      <alignment horizontal="left" vertical="top" wrapText="1"/>
    </xf>
    <xf numFmtId="0" fontId="1" fillId="6" borderId="6" xfId="27" applyNumberFormat="1" applyFont="1" applyFill="1" applyBorder="1" applyAlignment="1">
      <alignment horizontal="left" vertical="top" wrapText="1"/>
    </xf>
    <xf numFmtId="0" fontId="1" fillId="6" borderId="18" xfId="27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1" fillId="0" borderId="13" xfId="5" applyFont="1" applyBorder="1" applyAlignment="1">
      <alignment horizontal="left" vertical="center" wrapText="1"/>
    </xf>
    <xf numFmtId="0" fontId="21" fillId="0" borderId="14" xfId="5" applyFont="1" applyBorder="1" applyAlignment="1">
      <alignment horizontal="left" vertical="center" wrapText="1"/>
    </xf>
    <xf numFmtId="0" fontId="5" fillId="5" borderId="16" xfId="5" applyFont="1" applyFill="1" applyBorder="1" applyAlignment="1">
      <alignment horizontal="center" vertical="center"/>
    </xf>
    <xf numFmtId="0" fontId="5" fillId="5" borderId="1" xfId="5" applyFont="1" applyFill="1" applyBorder="1" applyAlignment="1">
      <alignment horizontal="center" vertical="center"/>
    </xf>
    <xf numFmtId="0" fontId="1" fillId="5" borderId="16" xfId="5" applyNumberFormat="1" applyFont="1" applyFill="1" applyBorder="1" applyAlignment="1">
      <alignment horizontal="left"/>
    </xf>
    <xf numFmtId="0" fontId="1" fillId="5" borderId="1" xfId="5" applyNumberFormat="1" applyFont="1" applyFill="1" applyBorder="1" applyAlignment="1">
      <alignment horizontal="left"/>
    </xf>
    <xf numFmtId="0" fontId="2" fillId="5" borderId="2" xfId="26" applyFont="1" applyFill="1" applyBorder="1" applyAlignment="1">
      <alignment horizontal="left"/>
    </xf>
    <xf numFmtId="0" fontId="2" fillId="5" borderId="6" xfId="26" applyFont="1" applyFill="1" applyBorder="1" applyAlignment="1">
      <alignment horizontal="left"/>
    </xf>
    <xf numFmtId="0" fontId="2" fillId="5" borderId="18" xfId="26" applyFont="1" applyFill="1" applyBorder="1" applyAlignment="1">
      <alignment horizontal="left"/>
    </xf>
    <xf numFmtId="0" fontId="2" fillId="5" borderId="1" xfId="5" applyNumberFormat="1" applyFont="1" applyFill="1" applyBorder="1" applyAlignment="1">
      <alignment horizontal="left"/>
    </xf>
    <xf numFmtId="0" fontId="2" fillId="5" borderId="17" xfId="5" applyNumberFormat="1" applyFont="1" applyFill="1" applyBorder="1" applyAlignment="1">
      <alignment horizontal="left"/>
    </xf>
    <xf numFmtId="0" fontId="2" fillId="5" borderId="2" xfId="5" applyNumberFormat="1" applyFont="1" applyFill="1" applyBorder="1" applyAlignment="1">
      <alignment horizontal="left"/>
    </xf>
    <xf numFmtId="0" fontId="2" fillId="5" borderId="6" xfId="5" applyNumberFormat="1" applyFont="1" applyFill="1" applyBorder="1" applyAlignment="1">
      <alignment horizontal="left"/>
    </xf>
    <xf numFmtId="0" fontId="2" fillId="5" borderId="18" xfId="5" applyNumberFormat="1" applyFont="1" applyFill="1" applyBorder="1" applyAlignment="1">
      <alignment horizontal="left"/>
    </xf>
    <xf numFmtId="2" fontId="2" fillId="4" borderId="2" xfId="0" applyNumberFormat="1" applyFont="1" applyFill="1" applyBorder="1" applyAlignment="1">
      <alignment horizontal="left" wrapText="1"/>
    </xf>
    <xf numFmtId="2" fontId="2" fillId="4" borderId="6" xfId="0" applyNumberFormat="1" applyFont="1" applyFill="1" applyBorder="1" applyAlignment="1">
      <alignment horizontal="left" wrapText="1"/>
    </xf>
    <xf numFmtId="2" fontId="2" fillId="4" borderId="4" xfId="0" applyNumberFormat="1" applyFont="1" applyFill="1" applyBorder="1" applyAlignment="1">
      <alignment horizontal="left" wrapText="1"/>
    </xf>
    <xf numFmtId="0" fontId="25" fillId="5" borderId="36" xfId="0" applyFont="1" applyFill="1" applyBorder="1" applyAlignment="1">
      <alignment horizontal="center" vertical="center"/>
    </xf>
    <xf numFmtId="0" fontId="25" fillId="5" borderId="37" xfId="0" applyFont="1" applyFill="1" applyBorder="1" applyAlignment="1">
      <alignment horizontal="center" vertical="center"/>
    </xf>
    <xf numFmtId="0" fontId="25" fillId="5" borderId="38" xfId="0" applyFont="1" applyFill="1" applyBorder="1" applyAlignment="1">
      <alignment horizontal="center" vertical="center"/>
    </xf>
    <xf numFmtId="0" fontId="25" fillId="5" borderId="31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5" fillId="5" borderId="30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right"/>
    </xf>
    <xf numFmtId="0" fontId="2" fillId="5" borderId="37" xfId="0" applyFont="1" applyFill="1" applyBorder="1" applyAlignment="1">
      <alignment horizontal="right"/>
    </xf>
    <xf numFmtId="0" fontId="2" fillId="8" borderId="16" xfId="50" applyFont="1" applyFill="1" applyBorder="1" applyAlignment="1">
      <alignment horizontal="center" vertical="center"/>
    </xf>
    <xf numFmtId="0" fontId="2" fillId="8" borderId="1" xfId="50" applyFont="1" applyFill="1" applyBorder="1" applyAlignment="1">
      <alignment horizontal="center" vertical="center"/>
    </xf>
    <xf numFmtId="0" fontId="2" fillId="8" borderId="1" xfId="50" quotePrefix="1" applyFont="1" applyFill="1" applyBorder="1" applyAlignment="1">
      <alignment horizontal="center" vertical="center"/>
    </xf>
    <xf numFmtId="164" fontId="2" fillId="8" borderId="1" xfId="52" applyFont="1" applyFill="1" applyBorder="1" applyAlignment="1">
      <alignment horizontal="center" vertical="center" wrapText="1"/>
    </xf>
    <xf numFmtId="40" fontId="2" fillId="8" borderId="1" xfId="50" applyNumberFormat="1" applyFont="1" applyFill="1" applyBorder="1" applyAlignment="1">
      <alignment horizontal="center" vertical="center"/>
    </xf>
    <xf numFmtId="40" fontId="2" fillId="8" borderId="17" xfId="50" applyNumberFormat="1" applyFont="1" applyFill="1" applyBorder="1" applyAlignment="1">
      <alignment horizontal="center" vertical="center"/>
    </xf>
    <xf numFmtId="0" fontId="21" fillId="0" borderId="13" xfId="5" applyFont="1" applyBorder="1" applyAlignment="1">
      <alignment horizontal="center" vertical="center" wrapText="1"/>
    </xf>
    <xf numFmtId="0" fontId="21" fillId="0" borderId="14" xfId="5" applyFont="1" applyBorder="1" applyAlignment="1">
      <alignment horizontal="center" vertical="center" wrapText="1"/>
    </xf>
    <xf numFmtId="0" fontId="21" fillId="0" borderId="15" xfId="5" applyFont="1" applyBorder="1" applyAlignment="1">
      <alignment horizontal="center" vertical="center" wrapText="1"/>
    </xf>
    <xf numFmtId="0" fontId="5" fillId="5" borderId="17" xfId="5" applyFont="1" applyFill="1" applyBorder="1" applyAlignment="1">
      <alignment horizontal="center" vertical="center"/>
    </xf>
  </cellXfs>
  <cellStyles count="54">
    <cellStyle name="0,0_x000d__x000a_NA_x000d__x000a_" xfId="2"/>
    <cellStyle name="0,0_x000d__x000a_NA_x000d__x000a_ 10" xfId="26"/>
    <cellStyle name="0,0_x000d__x000a_NA_x000d__x000a_ 11" xfId="29"/>
    <cellStyle name="0,0_x000d__x000a_NA_x000d__x000a_ 2" xfId="10"/>
    <cellStyle name="0,0_x000d__x000a_NA_x000d__x000a_ 3" xfId="11"/>
    <cellStyle name="0,0_x000d__x000a_NA_x000d__x000a_ 4" xfId="14"/>
    <cellStyle name="0,0_x000d__x000a_NA_x000d__x000a_ 5" xfId="16"/>
    <cellStyle name="0,0_x000d__x000a_NA_x000d__x000a_ 6" xfId="18"/>
    <cellStyle name="0,0_x000d__x000a_NA_x000d__x000a_ 7" xfId="20"/>
    <cellStyle name="0,0_x000d__x000a_NA_x000d__x000a_ 8" xfId="22"/>
    <cellStyle name="0,0_x000d__x000a_NA_x000d__x000a_ 9" xfId="24"/>
    <cellStyle name="0,0_x000d__x000a_NA_x000d__x000a__6.7_URBANISMO" xfId="3"/>
    <cellStyle name="Excel Built-in Normal" xfId="40"/>
    <cellStyle name="Moeda_Cronograma fisico-financeiro" xfId="51"/>
    <cellStyle name="Normal" xfId="0" builtinId="0"/>
    <cellStyle name="Normal 2" xfId="1"/>
    <cellStyle name="Normal 2 2" xfId="4"/>
    <cellStyle name="Normal 2 3" xfId="34"/>
    <cellStyle name="Normal 3" xfId="42"/>
    <cellStyle name="Normal 7" xfId="48"/>
    <cellStyle name="Normal 8" xfId="49"/>
    <cellStyle name="Normal_C%C3%B3pia de MEMORIA(1)" xfId="5"/>
    <cellStyle name="Normal_C%C3%B3pia de MEMORIA(1) 2" xfId="36"/>
    <cellStyle name="Normal_CASAS POPULARES - ORÇAMENTO- CRONOGRAMA" xfId="50"/>
    <cellStyle name="Normal_Orçamento ZEFERINO AGRA CEF" xfId="47"/>
    <cellStyle name="Normal_ORCEESCCB" xfId="53"/>
    <cellStyle name="Normal_Plan1" xfId="6"/>
    <cellStyle name="Normal_rptaobplanoservico25" xfId="12"/>
    <cellStyle name="Porcentagem" xfId="45" builtinId="5"/>
    <cellStyle name="Porcentagem 2" xfId="7"/>
    <cellStyle name="Separador de milhares 10" xfId="27"/>
    <cellStyle name="Separador de milhares 11" xfId="30"/>
    <cellStyle name="Separador de milhares 12" xfId="32"/>
    <cellStyle name="Separador de milhares 14" xfId="37"/>
    <cellStyle name="Separador de milhares 2" xfId="8"/>
    <cellStyle name="Separador de milhares 2 10" xfId="28"/>
    <cellStyle name="Separador de milhares 2 11" xfId="31"/>
    <cellStyle name="Separador de milhares 2 12" xfId="33"/>
    <cellStyle name="Separador de milhares 2 13" xfId="35"/>
    <cellStyle name="Separador de milhares 2 14" xfId="38"/>
    <cellStyle name="Separador de milhares 2 2" xfId="9"/>
    <cellStyle name="Separador de milhares 2 3" xfId="13"/>
    <cellStyle name="Separador de milhares 2 4" xfId="15"/>
    <cellStyle name="Separador de milhares 2 5" xfId="17"/>
    <cellStyle name="Separador de milhares 2 6" xfId="19"/>
    <cellStyle name="Separador de milhares 2 7" xfId="21"/>
    <cellStyle name="Separador de milhares 2 8" xfId="23"/>
    <cellStyle name="Separador de milhares 2 9" xfId="25"/>
    <cellStyle name="Separador de milhares 3" xfId="41"/>
    <cellStyle name="Separador de milhares 7" xfId="43"/>
    <cellStyle name="Separador de milhares 8" xfId="46"/>
    <cellStyle name="Separador de milhares 9" xfId="44"/>
    <cellStyle name="Separador de milhares_Cronograma fisico-financeiro" xfId="52"/>
    <cellStyle name="Vírgula" xfId="39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137585</xdr:colOff>
      <xdr:row>0</xdr:row>
      <xdr:rowOff>105832</xdr:rowOff>
    </xdr:from>
    <xdr:to>
      <xdr:col>7</xdr:col>
      <xdr:colOff>836084</xdr:colOff>
      <xdr:row>0</xdr:row>
      <xdr:rowOff>634999</xdr:rowOff>
    </xdr:to>
    <xdr:pic>
      <xdr:nvPicPr>
        <xdr:cNvPr id="2" name="Imagem 11" descr="logo vertic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7835" y="105832"/>
          <a:ext cx="698499" cy="529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243416</xdr:colOff>
      <xdr:row>0</xdr:row>
      <xdr:rowOff>63500</xdr:rowOff>
    </xdr:from>
    <xdr:to>
      <xdr:col>7</xdr:col>
      <xdr:colOff>38099</xdr:colOff>
      <xdr:row>0</xdr:row>
      <xdr:rowOff>635000</xdr:rowOff>
    </xdr:to>
    <xdr:pic>
      <xdr:nvPicPr>
        <xdr:cNvPr id="3" name="Imagem 2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16916" y="63500"/>
          <a:ext cx="1640417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414867</xdr:colOff>
      <xdr:row>0</xdr:row>
      <xdr:rowOff>262468</xdr:rowOff>
    </xdr:from>
    <xdr:to>
      <xdr:col>8</xdr:col>
      <xdr:colOff>276225</xdr:colOff>
      <xdr:row>0</xdr:row>
      <xdr:rowOff>645772</xdr:rowOff>
    </xdr:to>
    <xdr:pic>
      <xdr:nvPicPr>
        <xdr:cNvPr id="2" name="Imagem 11" descr="logo vertic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8567" y="262468"/>
          <a:ext cx="528108" cy="383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0</xdr:row>
      <xdr:rowOff>95250</xdr:rowOff>
    </xdr:from>
    <xdr:to>
      <xdr:col>6</xdr:col>
      <xdr:colOff>385233</xdr:colOff>
      <xdr:row>0</xdr:row>
      <xdr:rowOff>666750</xdr:rowOff>
    </xdr:to>
    <xdr:pic>
      <xdr:nvPicPr>
        <xdr:cNvPr id="3" name="Imagem 2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19650" y="95250"/>
          <a:ext cx="1642533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295275</xdr:rowOff>
    </xdr:from>
    <xdr:to>
      <xdr:col>5</xdr:col>
      <xdr:colOff>600075</xdr:colOff>
      <xdr:row>0</xdr:row>
      <xdr:rowOff>723900</xdr:rowOff>
    </xdr:to>
    <xdr:pic>
      <xdr:nvPicPr>
        <xdr:cNvPr id="4" name="Imagem 11" descr="logo vertic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95275"/>
          <a:ext cx="6381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171450</xdr:rowOff>
    </xdr:from>
    <xdr:to>
      <xdr:col>4</xdr:col>
      <xdr:colOff>438150</xdr:colOff>
      <xdr:row>0</xdr:row>
      <xdr:rowOff>819150</xdr:rowOff>
    </xdr:to>
    <xdr:pic>
      <xdr:nvPicPr>
        <xdr:cNvPr id="5" name="Imagem 4" descr="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71450"/>
          <a:ext cx="1628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1752600</xdr:colOff>
      <xdr:row>0</xdr:row>
      <xdr:rowOff>209550</xdr:rowOff>
    </xdr:from>
    <xdr:to>
      <xdr:col>6</xdr:col>
      <xdr:colOff>2419350</xdr:colOff>
      <xdr:row>0</xdr:row>
      <xdr:rowOff>676275</xdr:rowOff>
    </xdr:to>
    <xdr:pic>
      <xdr:nvPicPr>
        <xdr:cNvPr id="2" name="Imagem 11" descr="logo vertic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09550"/>
          <a:ext cx="666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628650</xdr:colOff>
      <xdr:row>0</xdr:row>
      <xdr:rowOff>171450</xdr:rowOff>
    </xdr:from>
    <xdr:to>
      <xdr:col>6</xdr:col>
      <xdr:colOff>1447800</xdr:colOff>
      <xdr:row>0</xdr:row>
      <xdr:rowOff>876300</xdr:rowOff>
    </xdr:to>
    <xdr:pic>
      <xdr:nvPicPr>
        <xdr:cNvPr id="3" name="Imagem 4" descr="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171450"/>
          <a:ext cx="1676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1590675</xdr:colOff>
      <xdr:row>0</xdr:row>
      <xdr:rowOff>104775</xdr:rowOff>
    </xdr:from>
    <xdr:to>
      <xdr:col>6</xdr:col>
      <xdr:colOff>1000125</xdr:colOff>
      <xdr:row>0</xdr:row>
      <xdr:rowOff>533400</xdr:rowOff>
    </xdr:to>
    <xdr:pic>
      <xdr:nvPicPr>
        <xdr:cNvPr id="5" name="Imagem 11" descr="logo vertic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1047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114300</xdr:colOff>
      <xdr:row>0</xdr:row>
      <xdr:rowOff>314325</xdr:rowOff>
    </xdr:from>
    <xdr:to>
      <xdr:col>6</xdr:col>
      <xdr:colOff>866775</xdr:colOff>
      <xdr:row>0</xdr:row>
      <xdr:rowOff>933450</xdr:rowOff>
    </xdr:to>
    <xdr:pic>
      <xdr:nvPicPr>
        <xdr:cNvPr id="6" name="Imagem 11" descr="logo vertic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14325"/>
          <a:ext cx="752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0</xdr:row>
      <xdr:rowOff>190500</xdr:rowOff>
    </xdr:from>
    <xdr:to>
      <xdr:col>6</xdr:col>
      <xdr:colOff>171450</xdr:colOff>
      <xdr:row>0</xdr:row>
      <xdr:rowOff>190500</xdr:rowOff>
    </xdr:to>
    <xdr:pic>
      <xdr:nvPicPr>
        <xdr:cNvPr id="7" name="Imagem 5" descr="LOGO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90500"/>
          <a:ext cx="1714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1752600</xdr:colOff>
      <xdr:row>0</xdr:row>
      <xdr:rowOff>209550</xdr:rowOff>
    </xdr:from>
    <xdr:to>
      <xdr:col>6</xdr:col>
      <xdr:colOff>2419350</xdr:colOff>
      <xdr:row>0</xdr:row>
      <xdr:rowOff>676275</xdr:rowOff>
    </xdr:to>
    <xdr:pic>
      <xdr:nvPicPr>
        <xdr:cNvPr id="8" name="Imagem 11" descr="logo vertical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09550"/>
          <a:ext cx="666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180974</xdr:rowOff>
    </xdr:from>
    <xdr:to>
      <xdr:col>6</xdr:col>
      <xdr:colOff>0</xdr:colOff>
      <xdr:row>0</xdr:row>
      <xdr:rowOff>781049</xdr:rowOff>
    </xdr:to>
    <xdr:pic>
      <xdr:nvPicPr>
        <xdr:cNvPr id="9" name="Imagem 4" descr="LOGO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80974"/>
          <a:ext cx="1733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BreakPreview" topLeftCell="A53" zoomScaleNormal="110" zoomScaleSheetLayoutView="100" workbookViewId="0">
      <selection activeCell="K58" sqref="K58"/>
    </sheetView>
  </sheetViews>
  <sheetFormatPr defaultRowHeight="15" x14ac:dyDescent="0.25"/>
  <cols>
    <col min="1" max="1" width="6.7109375" customWidth="1"/>
    <col min="2" max="2" width="15.7109375" customWidth="1"/>
    <col min="3" max="3" width="13.7109375" customWidth="1"/>
    <col min="4" max="4" width="37.7109375" customWidth="1"/>
    <col min="5" max="5" width="6.7109375" customWidth="1"/>
    <col min="6" max="6" width="10.5703125" customWidth="1"/>
    <col min="7" max="7" width="10.42578125" customWidth="1"/>
    <col min="8" max="8" width="15.140625" customWidth="1"/>
    <col min="9" max="9" width="10.28515625" customWidth="1"/>
    <col min="10" max="10" width="12.28515625" customWidth="1"/>
    <col min="11" max="11" width="42.85546875" customWidth="1"/>
    <col min="12" max="12" width="22.42578125" customWidth="1"/>
    <col min="13" max="13" width="10" bestFit="1" customWidth="1"/>
  </cols>
  <sheetData>
    <row r="1" spans="1:12" ht="54" customHeight="1" x14ac:dyDescent="0.25">
      <c r="A1" s="518"/>
      <c r="B1" s="519"/>
      <c r="C1" s="520"/>
      <c r="D1" s="520"/>
      <c r="E1" s="520"/>
      <c r="F1" s="520"/>
      <c r="G1" s="520"/>
      <c r="H1" s="521"/>
      <c r="I1" s="9"/>
    </row>
    <row r="2" spans="1:12" ht="16.5" x14ac:dyDescent="0.25">
      <c r="A2" s="522" t="s">
        <v>0</v>
      </c>
      <c r="B2" s="523"/>
      <c r="C2" s="523"/>
      <c r="D2" s="523"/>
      <c r="E2" s="523"/>
      <c r="F2" s="523"/>
      <c r="G2" s="523"/>
      <c r="H2" s="136">
        <v>41581</v>
      </c>
      <c r="I2" s="8"/>
    </row>
    <row r="3" spans="1:12" ht="30" customHeight="1" x14ac:dyDescent="0.25">
      <c r="A3" s="524" t="s">
        <v>1</v>
      </c>
      <c r="B3" s="525"/>
      <c r="C3" s="525"/>
      <c r="D3" s="526" t="s">
        <v>68</v>
      </c>
      <c r="E3" s="527"/>
      <c r="F3" s="527"/>
      <c r="G3" s="527"/>
      <c r="H3" s="528"/>
      <c r="I3" s="10"/>
    </row>
    <row r="4" spans="1:12" x14ac:dyDescent="0.25">
      <c r="A4" s="524" t="s">
        <v>2</v>
      </c>
      <c r="B4" s="525"/>
      <c r="C4" s="525"/>
      <c r="D4" s="529" t="s">
        <v>3</v>
      </c>
      <c r="E4" s="529"/>
      <c r="F4" s="529"/>
      <c r="G4" s="529"/>
      <c r="H4" s="530"/>
      <c r="I4" s="10"/>
    </row>
    <row r="5" spans="1:12" x14ac:dyDescent="0.25">
      <c r="A5" s="524" t="s">
        <v>4</v>
      </c>
      <c r="B5" s="525"/>
      <c r="C5" s="525"/>
      <c r="D5" s="529" t="s">
        <v>460</v>
      </c>
      <c r="E5" s="529"/>
      <c r="F5" s="529"/>
      <c r="G5" s="529"/>
      <c r="H5" s="530"/>
      <c r="I5" s="10"/>
    </row>
    <row r="6" spans="1:12" ht="15.75" thickBot="1" x14ac:dyDescent="0.3">
      <c r="A6" s="531" t="s">
        <v>5</v>
      </c>
      <c r="B6" s="532"/>
      <c r="C6" s="532"/>
      <c r="D6" s="516" t="s">
        <v>69</v>
      </c>
      <c r="E6" s="516"/>
      <c r="F6" s="516"/>
      <c r="G6" s="516"/>
      <c r="H6" s="517"/>
      <c r="I6" s="10"/>
    </row>
    <row r="7" spans="1:12" x14ac:dyDescent="0.25">
      <c r="A7" s="514" t="s">
        <v>6</v>
      </c>
      <c r="B7" s="510" t="s">
        <v>100</v>
      </c>
      <c r="C7" s="508" t="s">
        <v>7</v>
      </c>
      <c r="D7" s="508" t="s">
        <v>8</v>
      </c>
      <c r="E7" s="508" t="s">
        <v>9</v>
      </c>
      <c r="F7" s="508" t="s">
        <v>10</v>
      </c>
      <c r="G7" s="508" t="s">
        <v>11</v>
      </c>
      <c r="H7" s="513"/>
      <c r="I7" s="11"/>
    </row>
    <row r="8" spans="1:12" ht="23.25" customHeight="1" x14ac:dyDescent="0.25">
      <c r="A8" s="515"/>
      <c r="B8" s="511"/>
      <c r="C8" s="509"/>
      <c r="D8" s="509"/>
      <c r="E8" s="509"/>
      <c r="F8" s="509"/>
      <c r="G8" s="7" t="s">
        <v>12</v>
      </c>
      <c r="H8" s="137" t="s">
        <v>13</v>
      </c>
      <c r="I8" s="11"/>
    </row>
    <row r="9" spans="1:12" x14ac:dyDescent="0.25">
      <c r="A9" s="138"/>
      <c r="B9" s="3"/>
      <c r="C9" s="4"/>
      <c r="D9" s="5"/>
      <c r="E9" s="6"/>
      <c r="F9" s="4"/>
      <c r="G9" s="18" t="s">
        <v>42</v>
      </c>
      <c r="H9" s="139" t="s">
        <v>426</v>
      </c>
      <c r="I9" s="379"/>
    </row>
    <row r="10" spans="1:12" ht="17.25" customHeight="1" x14ac:dyDescent="0.25">
      <c r="A10" s="138" t="s">
        <v>70</v>
      </c>
      <c r="B10" s="3"/>
      <c r="C10" s="4"/>
      <c r="D10" s="5" t="s">
        <v>31</v>
      </c>
      <c r="E10" s="6"/>
      <c r="F10" s="4"/>
      <c r="G10" s="18"/>
      <c r="H10" s="139">
        <f>SUM(H11:H30)</f>
        <v>96138.367019999991</v>
      </c>
      <c r="I10" s="379"/>
    </row>
    <row r="11" spans="1:12" ht="39.75" customHeight="1" x14ac:dyDescent="0.25">
      <c r="A11" s="140" t="s">
        <v>14</v>
      </c>
      <c r="B11" s="83" t="s">
        <v>298</v>
      </c>
      <c r="C11" s="113" t="s">
        <v>33</v>
      </c>
      <c r="D11" s="54" t="s">
        <v>34</v>
      </c>
      <c r="E11" s="84" t="s">
        <v>15</v>
      </c>
      <c r="F11" s="203">
        <f>'MEMORIA DE CÁLCULO '!I13</f>
        <v>8.7960599999999989</v>
      </c>
      <c r="G11" s="204">
        <v>287.79000000000002</v>
      </c>
      <c r="H11" s="141">
        <f>ROUND(G11*F11,2)*1.2423</f>
        <v>3144.783066</v>
      </c>
      <c r="I11" s="380"/>
    </row>
    <row r="12" spans="1:12" ht="51" x14ac:dyDescent="0.25">
      <c r="A12" s="140" t="s">
        <v>16</v>
      </c>
      <c r="B12" s="83" t="s">
        <v>298</v>
      </c>
      <c r="C12" s="113" t="s">
        <v>35</v>
      </c>
      <c r="D12" s="54" t="s">
        <v>36</v>
      </c>
      <c r="E12" s="84" t="s">
        <v>15</v>
      </c>
      <c r="F12" s="203">
        <f>'MEMORIA DE CÁLCULO '!I17</f>
        <v>50</v>
      </c>
      <c r="G12" s="204">
        <v>213.41</v>
      </c>
      <c r="H12" s="141">
        <f t="shared" ref="H12:H28" si="0">ROUND(G12*F12,2)*1.2423</f>
        <v>13255.962149999999</v>
      </c>
      <c r="I12" s="380"/>
    </row>
    <row r="13" spans="1:12" ht="51" x14ac:dyDescent="0.25">
      <c r="A13" s="140" t="s">
        <v>17</v>
      </c>
      <c r="B13" s="83" t="s">
        <v>336</v>
      </c>
      <c r="C13" s="201" t="s">
        <v>24</v>
      </c>
      <c r="D13" s="86" t="s">
        <v>25</v>
      </c>
      <c r="E13" s="87" t="s">
        <v>18</v>
      </c>
      <c r="F13" s="205">
        <f>'MEMORIA DE CÁLCULO '!I21</f>
        <v>5</v>
      </c>
      <c r="G13" s="204">
        <v>944.45</v>
      </c>
      <c r="H13" s="141">
        <f t="shared" si="0"/>
        <v>5866.4511750000001</v>
      </c>
      <c r="I13" s="381"/>
    </row>
    <row r="14" spans="1:12" ht="111" customHeight="1" x14ac:dyDescent="0.25">
      <c r="A14" s="140" t="s">
        <v>19</v>
      </c>
      <c r="B14" s="158" t="s">
        <v>235</v>
      </c>
      <c r="C14" s="113" t="s">
        <v>491</v>
      </c>
      <c r="D14" s="504" t="s">
        <v>492</v>
      </c>
      <c r="E14" s="505" t="s">
        <v>22</v>
      </c>
      <c r="F14" s="203">
        <f>'MEMORIA DE CÁLCULO '!I86</f>
        <v>506.55666666666667</v>
      </c>
      <c r="G14" s="204">
        <v>9.36</v>
      </c>
      <c r="H14" s="141">
        <f t="shared" si="0"/>
        <v>5890.2039509999995</v>
      </c>
      <c r="I14" s="380"/>
    </row>
    <row r="15" spans="1:12" s="52" customFormat="1" ht="30" customHeight="1" x14ac:dyDescent="0.25">
      <c r="A15" s="140" t="s">
        <v>20</v>
      </c>
      <c r="B15" s="83" t="s">
        <v>298</v>
      </c>
      <c r="C15" s="201">
        <v>72225</v>
      </c>
      <c r="D15" s="89" t="s">
        <v>71</v>
      </c>
      <c r="E15" s="87" t="s">
        <v>15</v>
      </c>
      <c r="F15" s="206">
        <f>'MEMORIA DE CÁLCULO '!I136</f>
        <v>100.8686</v>
      </c>
      <c r="G15" s="93">
        <v>1.88</v>
      </c>
      <c r="H15" s="141">
        <f t="shared" si="0"/>
        <v>235.577349</v>
      </c>
      <c r="I15" s="126"/>
      <c r="L15" s="68"/>
    </row>
    <row r="16" spans="1:12" s="52" customFormat="1" ht="44.25" customHeight="1" x14ac:dyDescent="0.25">
      <c r="A16" s="140" t="s">
        <v>73</v>
      </c>
      <c r="B16" s="83" t="s">
        <v>298</v>
      </c>
      <c r="C16" s="113">
        <v>72218</v>
      </c>
      <c r="D16" s="55" t="s">
        <v>72</v>
      </c>
      <c r="E16" s="87" t="s">
        <v>15</v>
      </c>
      <c r="F16" s="206">
        <f>'MEMORIA DE CÁLCULO '!I142</f>
        <v>529.56200000000001</v>
      </c>
      <c r="G16" s="93">
        <v>3.01</v>
      </c>
      <c r="H16" s="141">
        <f t="shared" si="0"/>
        <v>1980.201354</v>
      </c>
      <c r="I16" s="126"/>
      <c r="L16" s="68"/>
    </row>
    <row r="17" spans="1:13" s="52" customFormat="1" ht="20.25" customHeight="1" x14ac:dyDescent="0.25">
      <c r="A17" s="140" t="s">
        <v>74</v>
      </c>
      <c r="B17" s="83" t="s">
        <v>336</v>
      </c>
      <c r="C17" s="113" t="s">
        <v>382</v>
      </c>
      <c r="D17" s="89" t="s">
        <v>55</v>
      </c>
      <c r="E17" s="87" t="s">
        <v>15</v>
      </c>
      <c r="F17" s="206">
        <f>'MEMORIA DE CÁLCULO '!I168</f>
        <v>1447.1691000000001</v>
      </c>
      <c r="G17" s="93">
        <v>4.8099999999999996</v>
      </c>
      <c r="H17" s="141">
        <f t="shared" si="0"/>
        <v>8647.5012239999996</v>
      </c>
      <c r="I17" s="126"/>
      <c r="L17" s="68"/>
    </row>
    <row r="18" spans="1:13" s="52" customFormat="1" ht="34.5" customHeight="1" x14ac:dyDescent="0.25">
      <c r="A18" s="140" t="s">
        <v>75</v>
      </c>
      <c r="B18" s="83" t="s">
        <v>298</v>
      </c>
      <c r="C18" s="201">
        <v>72949</v>
      </c>
      <c r="D18" s="91" t="s">
        <v>106</v>
      </c>
      <c r="E18" s="83" t="s">
        <v>120</v>
      </c>
      <c r="F18" s="206">
        <f>'MEMORIA DE CÁLCULO '!I184</f>
        <v>30.516000000000002</v>
      </c>
      <c r="G18" s="93">
        <v>19.5</v>
      </c>
      <c r="H18" s="141">
        <f t="shared" si="0"/>
        <v>739.24303799999996</v>
      </c>
      <c r="I18" s="126"/>
      <c r="L18" s="68"/>
    </row>
    <row r="19" spans="1:13" s="52" customFormat="1" x14ac:dyDescent="0.25">
      <c r="A19" s="140" t="s">
        <v>76</v>
      </c>
      <c r="B19" s="53" t="s">
        <v>97</v>
      </c>
      <c r="C19" s="113" t="s">
        <v>356</v>
      </c>
      <c r="D19" s="55" t="s">
        <v>383</v>
      </c>
      <c r="E19" s="83" t="s">
        <v>57</v>
      </c>
      <c r="F19" s="206">
        <f>'MEMORIA DE CÁLCULO '!I190</f>
        <v>3</v>
      </c>
      <c r="G19" s="93">
        <v>2.16</v>
      </c>
      <c r="H19" s="141">
        <f t="shared" si="0"/>
        <v>8.050104000000001</v>
      </c>
      <c r="I19" s="126"/>
      <c r="L19" s="68"/>
    </row>
    <row r="20" spans="1:13" s="52" customFormat="1" ht="33.75" customHeight="1" x14ac:dyDescent="0.25">
      <c r="A20" s="140" t="s">
        <v>77</v>
      </c>
      <c r="B20" s="53" t="s">
        <v>235</v>
      </c>
      <c r="C20" s="113" t="s">
        <v>277</v>
      </c>
      <c r="D20" s="55" t="s">
        <v>364</v>
      </c>
      <c r="E20" s="87" t="s">
        <v>15</v>
      </c>
      <c r="F20" s="206">
        <f>'MEMORIA DE CÁLCULO '!I196</f>
        <v>526.69499999999994</v>
      </c>
      <c r="G20" s="93">
        <v>6.94</v>
      </c>
      <c r="H20" s="141">
        <f t="shared" si="0"/>
        <v>4540.9294980000004</v>
      </c>
      <c r="I20" s="126"/>
      <c r="L20" s="68"/>
    </row>
    <row r="21" spans="1:13" s="52" customFormat="1" ht="24" customHeight="1" x14ac:dyDescent="0.25">
      <c r="A21" s="140" t="s">
        <v>78</v>
      </c>
      <c r="B21" s="53" t="s">
        <v>235</v>
      </c>
      <c r="C21" s="113" t="s">
        <v>380</v>
      </c>
      <c r="D21" s="55" t="s">
        <v>103</v>
      </c>
      <c r="E21" s="83" t="s">
        <v>22</v>
      </c>
      <c r="F21" s="134">
        <f>'MEMORIA DE CÁLCULO '!I235</f>
        <v>909.07300000000009</v>
      </c>
      <c r="G21" s="93">
        <v>3.61</v>
      </c>
      <c r="H21" s="141">
        <f t="shared" si="0"/>
        <v>4076.9180249999999</v>
      </c>
      <c r="I21" s="126"/>
      <c r="L21" s="68"/>
    </row>
    <row r="22" spans="1:13" s="52" customFormat="1" ht="25.5" x14ac:dyDescent="0.25">
      <c r="A22" s="140" t="s">
        <v>98</v>
      </c>
      <c r="B22" s="53" t="s">
        <v>97</v>
      </c>
      <c r="C22" s="113" t="s">
        <v>371</v>
      </c>
      <c r="D22" s="55" t="s">
        <v>108</v>
      </c>
      <c r="E22" s="83" t="s">
        <v>15</v>
      </c>
      <c r="F22" s="134">
        <f>'MEMORIA DE CÁLCULO '!I246</f>
        <v>761.68000000000006</v>
      </c>
      <c r="G22" s="93">
        <v>11.06</v>
      </c>
      <c r="H22" s="141">
        <f t="shared" si="0"/>
        <v>10465.358813999999</v>
      </c>
      <c r="I22" s="126"/>
      <c r="L22" s="68"/>
    </row>
    <row r="23" spans="1:13" s="52" customFormat="1" ht="25.5" x14ac:dyDescent="0.25">
      <c r="A23" s="140" t="s">
        <v>99</v>
      </c>
      <c r="B23" s="53" t="s">
        <v>97</v>
      </c>
      <c r="C23" s="201" t="s">
        <v>337</v>
      </c>
      <c r="D23" s="55" t="s">
        <v>114</v>
      </c>
      <c r="E23" s="83" t="s">
        <v>57</v>
      </c>
      <c r="F23" s="134">
        <f>'MEMORIA DE CÁLCULO '!I252</f>
        <v>3</v>
      </c>
      <c r="G23" s="92">
        <v>66.41</v>
      </c>
      <c r="H23" s="141">
        <f t="shared" si="0"/>
        <v>247.50342899999998</v>
      </c>
      <c r="I23" s="126"/>
      <c r="L23" s="68"/>
    </row>
    <row r="24" spans="1:13" s="52" customFormat="1" ht="30" customHeight="1" x14ac:dyDescent="0.25">
      <c r="A24" s="140" t="s">
        <v>104</v>
      </c>
      <c r="B24" s="53" t="s">
        <v>97</v>
      </c>
      <c r="C24" s="201" t="s">
        <v>466</v>
      </c>
      <c r="D24" s="55" t="s">
        <v>119</v>
      </c>
      <c r="E24" s="83" t="s">
        <v>57</v>
      </c>
      <c r="F24" s="134">
        <f>'MEMORIA DE CÁLCULO '!I258</f>
        <v>1</v>
      </c>
      <c r="G24" s="92">
        <v>168.21</v>
      </c>
      <c r="H24" s="141">
        <f>ROUND(G24*F24,2)*1.2423</f>
        <v>208.96728300000001</v>
      </c>
      <c r="I24" s="126"/>
      <c r="L24" s="68"/>
    </row>
    <row r="25" spans="1:13" s="52" customFormat="1" ht="33.75" customHeight="1" x14ac:dyDescent="0.25">
      <c r="A25" s="140" t="s">
        <v>109</v>
      </c>
      <c r="B25" s="53" t="s">
        <v>97</v>
      </c>
      <c r="C25" s="202" t="s">
        <v>21</v>
      </c>
      <c r="D25" s="55" t="s">
        <v>355</v>
      </c>
      <c r="E25" s="83" t="str">
        <f>'MEMORIA DE CÁLCULO '!J264</f>
        <v>UND</v>
      </c>
      <c r="F25" s="134">
        <f>'MEMORIA DE CÁLCULO '!I264</f>
        <v>49</v>
      </c>
      <c r="G25" s="93">
        <v>3.4</v>
      </c>
      <c r="H25" s="141">
        <f>ROUND(G25*F25,2)*1.2423</f>
        <v>206.96717999999998</v>
      </c>
      <c r="I25" s="126"/>
      <c r="L25" s="68"/>
    </row>
    <row r="26" spans="1:13" s="52" customFormat="1" ht="33.75" customHeight="1" x14ac:dyDescent="0.25">
      <c r="A26" s="140" t="s">
        <v>110</v>
      </c>
      <c r="B26" s="53" t="s">
        <v>235</v>
      </c>
      <c r="C26" s="202" t="s">
        <v>343</v>
      </c>
      <c r="D26" s="55" t="s">
        <v>342</v>
      </c>
      <c r="E26" s="83" t="s">
        <v>49</v>
      </c>
      <c r="F26" s="134">
        <f>'MEMORIA DE CÁLCULO '!I268</f>
        <v>2</v>
      </c>
      <c r="G26" s="93">
        <v>87.53</v>
      </c>
      <c r="H26" s="141">
        <f>ROUND(G26*F26,2)*1.2423</f>
        <v>217.47703799999999</v>
      </c>
      <c r="I26" s="126"/>
      <c r="L26" s="68"/>
    </row>
    <row r="27" spans="1:13" s="52" customFormat="1" ht="33.75" customHeight="1" x14ac:dyDescent="0.25">
      <c r="A27" s="140" t="s">
        <v>381</v>
      </c>
      <c r="B27" s="53" t="s">
        <v>235</v>
      </c>
      <c r="C27" s="202" t="s">
        <v>245</v>
      </c>
      <c r="D27" s="55" t="s">
        <v>385</v>
      </c>
      <c r="E27" s="83" t="s">
        <v>53</v>
      </c>
      <c r="F27" s="134">
        <f>'MEMORIA DE CÁLCULO '!I278</f>
        <v>272.87</v>
      </c>
      <c r="G27" s="93">
        <v>6.98</v>
      </c>
      <c r="H27" s="141">
        <f>ROUND(G27*F27,2)*1.2423</f>
        <v>2366.1218490000001</v>
      </c>
      <c r="I27" s="126"/>
      <c r="L27" s="68"/>
    </row>
    <row r="28" spans="1:13" s="52" customFormat="1" ht="39.75" customHeight="1" x14ac:dyDescent="0.25">
      <c r="A28" s="140" t="s">
        <v>111</v>
      </c>
      <c r="B28" s="113" t="s">
        <v>235</v>
      </c>
      <c r="C28" s="202" t="s">
        <v>376</v>
      </c>
      <c r="D28" s="114" t="s">
        <v>377</v>
      </c>
      <c r="E28" s="157" t="s">
        <v>117</v>
      </c>
      <c r="F28" s="207">
        <f>'MEMORIA DE CÁLCULO '!I292</f>
        <v>578.30803550000007</v>
      </c>
      <c r="G28" s="208">
        <v>30.48</v>
      </c>
      <c r="H28" s="387">
        <f t="shared" si="0"/>
        <v>21897.810909</v>
      </c>
      <c r="I28" s="126"/>
      <c r="L28" s="68"/>
    </row>
    <row r="29" spans="1:13" s="52" customFormat="1" ht="43.5" customHeight="1" x14ac:dyDescent="0.25">
      <c r="A29" s="140" t="s">
        <v>112</v>
      </c>
      <c r="B29" s="113" t="s">
        <v>235</v>
      </c>
      <c r="C29" s="201" t="s">
        <v>493</v>
      </c>
      <c r="D29" s="114" t="s">
        <v>494</v>
      </c>
      <c r="E29" s="158" t="s">
        <v>117</v>
      </c>
      <c r="F29" s="207">
        <f>'MEMORIA DE CÁLCULO '!I306</f>
        <v>578.30803550000007</v>
      </c>
      <c r="G29" s="208">
        <v>15.84</v>
      </c>
      <c r="H29" s="387">
        <f>ROUND(G29*F29,2)*1.2423</f>
        <v>11379.964919999999</v>
      </c>
      <c r="I29" s="126"/>
      <c r="L29" s="68"/>
    </row>
    <row r="30" spans="1:13" s="52" customFormat="1" ht="31.5" customHeight="1" x14ac:dyDescent="0.25">
      <c r="A30" s="140" t="s">
        <v>234</v>
      </c>
      <c r="B30" s="53" t="s">
        <v>97</v>
      </c>
      <c r="C30" s="201" t="s">
        <v>384</v>
      </c>
      <c r="D30" s="55" t="s">
        <v>115</v>
      </c>
      <c r="E30" s="83" t="s">
        <v>57</v>
      </c>
      <c r="F30" s="134">
        <f>'MEMORIA DE CÁLCULO '!I312</f>
        <v>3</v>
      </c>
      <c r="G30" s="92">
        <v>204.56</v>
      </c>
      <c r="H30" s="141">
        <f>ROUND(G30*F30,2)*1.2423</f>
        <v>762.37466399999994</v>
      </c>
      <c r="I30" s="126"/>
      <c r="L30" s="68"/>
    </row>
    <row r="31" spans="1:13" x14ac:dyDescent="0.25">
      <c r="A31" s="142" t="s">
        <v>79</v>
      </c>
      <c r="B31" s="19"/>
      <c r="C31" s="15"/>
      <c r="D31" s="16" t="s">
        <v>60</v>
      </c>
      <c r="E31" s="17"/>
      <c r="F31" s="65"/>
      <c r="G31" s="15"/>
      <c r="H31" s="143">
        <f>SUM(H32:H49)</f>
        <v>507992.83510114433</v>
      </c>
      <c r="I31" s="382"/>
      <c r="K31" s="51"/>
      <c r="L31" s="51"/>
      <c r="M31" s="51">
        <f>L31/6</f>
        <v>0</v>
      </c>
    </row>
    <row r="32" spans="1:13" ht="38.25" x14ac:dyDescent="0.25">
      <c r="A32" s="144" t="s">
        <v>23</v>
      </c>
      <c r="B32" s="83" t="s">
        <v>298</v>
      </c>
      <c r="C32" s="113" t="s">
        <v>324</v>
      </c>
      <c r="D32" s="124" t="s">
        <v>325</v>
      </c>
      <c r="E32" s="125" t="s">
        <v>326</v>
      </c>
      <c r="F32" s="88">
        <f>'MEMORIA DE CÁLCULO '!I319</f>
        <v>307.20400000000001</v>
      </c>
      <c r="G32" s="127">
        <v>26.42</v>
      </c>
      <c r="H32" s="145">
        <f>(F32*G32)*1.2423</f>
        <v>10082.916361464</v>
      </c>
      <c r="I32" s="383"/>
      <c r="J32" s="126"/>
    </row>
    <row r="33" spans="1:12" s="52" customFormat="1" ht="25.5" x14ac:dyDescent="0.25">
      <c r="A33" s="144" t="s">
        <v>61</v>
      </c>
      <c r="B33" s="83" t="s">
        <v>298</v>
      </c>
      <c r="C33" s="157" t="s">
        <v>328</v>
      </c>
      <c r="D33" s="128" t="s">
        <v>329</v>
      </c>
      <c r="E33" s="129" t="s">
        <v>117</v>
      </c>
      <c r="F33" s="130">
        <f>'MEMORIA DE CÁLCULO '!I324</f>
        <v>307.20400000000001</v>
      </c>
      <c r="G33" s="127">
        <v>94.14</v>
      </c>
      <c r="H33" s="145">
        <f>(F33*G33)*1.2423</f>
        <v>35927.545278887999</v>
      </c>
      <c r="I33" s="383"/>
    </row>
    <row r="34" spans="1:12" s="52" customFormat="1" ht="43.5" customHeight="1" x14ac:dyDescent="0.25">
      <c r="A34" s="144" t="s">
        <v>26</v>
      </c>
      <c r="B34" s="158" t="s">
        <v>336</v>
      </c>
      <c r="C34" s="310" t="s">
        <v>495</v>
      </c>
      <c r="D34" s="163" t="s">
        <v>498</v>
      </c>
      <c r="E34" s="200" t="s">
        <v>117</v>
      </c>
      <c r="F34" s="199">
        <f>'MEMORIA DE CÁLCULO '!I332</f>
        <v>399.36520000000002</v>
      </c>
      <c r="G34" s="165">
        <v>15.64</v>
      </c>
      <c r="H34" s="388">
        <f t="shared" ref="H34" si="1">(F34*G34)*1.2423</f>
        <v>7759.4949076944004</v>
      </c>
      <c r="I34" s="126"/>
      <c r="L34" s="68"/>
    </row>
    <row r="35" spans="1:12" ht="25.5" x14ac:dyDescent="0.25">
      <c r="A35" s="144" t="s">
        <v>27</v>
      </c>
      <c r="B35" s="83" t="s">
        <v>298</v>
      </c>
      <c r="C35" s="311" t="s">
        <v>330</v>
      </c>
      <c r="D35" s="131" t="s">
        <v>331</v>
      </c>
      <c r="E35" s="83" t="s">
        <v>53</v>
      </c>
      <c r="F35" s="130">
        <f>'MEMORIA DE CÁLCULO '!I337</f>
        <v>2072.04</v>
      </c>
      <c r="G35" s="132">
        <v>19.86</v>
      </c>
      <c r="H35" s="145">
        <f t="shared" ref="H35:H49" si="2">(F35*G35)*1.2423</f>
        <v>51121.532499119996</v>
      </c>
      <c r="I35" s="383"/>
      <c r="J35" s="81"/>
    </row>
    <row r="36" spans="1:12" s="52" customFormat="1" ht="63.75" customHeight="1" x14ac:dyDescent="0.25">
      <c r="A36" s="144" t="s">
        <v>28</v>
      </c>
      <c r="B36" s="83" t="s">
        <v>298</v>
      </c>
      <c r="C36" s="312" t="s">
        <v>59</v>
      </c>
      <c r="D36" s="72" t="s">
        <v>470</v>
      </c>
      <c r="E36" s="69" t="s">
        <v>53</v>
      </c>
      <c r="F36" s="95">
        <f>'MEMORIA DE CÁLCULO '!I360</f>
        <v>2330.8040000000001</v>
      </c>
      <c r="G36" s="70">
        <v>64</v>
      </c>
      <c r="H36" s="145">
        <f t="shared" si="2"/>
        <v>185315.6997888</v>
      </c>
      <c r="I36" s="135"/>
    </row>
    <row r="37" spans="1:12" s="52" customFormat="1" ht="78.75" customHeight="1" x14ac:dyDescent="0.25">
      <c r="A37" s="144" t="s">
        <v>29</v>
      </c>
      <c r="B37" s="187" t="s">
        <v>235</v>
      </c>
      <c r="C37" s="157" t="s">
        <v>366</v>
      </c>
      <c r="D37" s="193" t="s">
        <v>367</v>
      </c>
      <c r="E37" s="158" t="s">
        <v>32</v>
      </c>
      <c r="F37" s="190">
        <f>'MEMORIA DE CÁLCULO '!I366</f>
        <v>588.4</v>
      </c>
      <c r="G37" s="162">
        <v>75.62</v>
      </c>
      <c r="H37" s="145">
        <f t="shared" si="2"/>
        <v>55275.899978400004</v>
      </c>
      <c r="I37" s="126"/>
    </row>
    <row r="38" spans="1:12" ht="100.5" customHeight="1" x14ac:dyDescent="0.25">
      <c r="A38" s="144" t="s">
        <v>58</v>
      </c>
      <c r="B38" s="158" t="s">
        <v>360</v>
      </c>
      <c r="C38" s="113" t="s">
        <v>361</v>
      </c>
      <c r="D38" s="191" t="s">
        <v>362</v>
      </c>
      <c r="E38" s="158" t="s">
        <v>15</v>
      </c>
      <c r="F38" s="192">
        <f>'MEMORIA DE CÁLCULO '!I372</f>
        <v>1006.45</v>
      </c>
      <c r="G38" s="186">
        <v>57.52</v>
      </c>
      <c r="H38" s="145">
        <f>(F38*G38)*1.2423</f>
        <v>71917.994269200004</v>
      </c>
      <c r="I38" s="380"/>
    </row>
    <row r="39" spans="1:12" s="52" customFormat="1" ht="46.5" customHeight="1" x14ac:dyDescent="0.25">
      <c r="A39" s="144" t="s">
        <v>427</v>
      </c>
      <c r="B39" s="83" t="s">
        <v>298</v>
      </c>
      <c r="C39" s="201" t="s">
        <v>378</v>
      </c>
      <c r="D39" s="191" t="s">
        <v>379</v>
      </c>
      <c r="E39" s="197" t="s">
        <v>15</v>
      </c>
      <c r="F39" s="198">
        <f>'MEMORIA DE CÁLCULO '!I376</f>
        <v>110.04</v>
      </c>
      <c r="G39" s="186">
        <v>21.83</v>
      </c>
      <c r="H39" s="388">
        <f t="shared" si="2"/>
        <v>2984.2197663599995</v>
      </c>
      <c r="I39" s="126"/>
    </row>
    <row r="40" spans="1:12" s="52" customFormat="1" ht="69" customHeight="1" x14ac:dyDescent="0.25">
      <c r="A40" s="144" t="s">
        <v>428</v>
      </c>
      <c r="B40" s="83" t="s">
        <v>298</v>
      </c>
      <c r="C40" s="201">
        <v>83395</v>
      </c>
      <c r="D40" s="191" t="s">
        <v>369</v>
      </c>
      <c r="E40" s="158" t="s">
        <v>18</v>
      </c>
      <c r="F40" s="194">
        <f>'MEMORIA DE CÁLCULO '!I382</f>
        <v>1</v>
      </c>
      <c r="G40" s="186">
        <v>506.62</v>
      </c>
      <c r="H40" s="145">
        <f t="shared" si="2"/>
        <v>629.37402599999996</v>
      </c>
      <c r="I40" s="135"/>
    </row>
    <row r="41" spans="1:12" s="52" customFormat="1" ht="51.75" customHeight="1" x14ac:dyDescent="0.25">
      <c r="A41" s="144" t="s">
        <v>429</v>
      </c>
      <c r="B41" s="83" t="s">
        <v>349</v>
      </c>
      <c r="C41" s="497" t="s">
        <v>352</v>
      </c>
      <c r="D41" s="498" t="s">
        <v>353</v>
      </c>
      <c r="E41" s="83" t="s">
        <v>117</v>
      </c>
      <c r="F41" s="499">
        <f>'MEMORIA DE CÁLCULO '!I388</f>
        <v>2.8000000000000004E-2</v>
      </c>
      <c r="G41" s="500">
        <v>1572.47</v>
      </c>
      <c r="H41" s="145">
        <f>(F41*G41)*1.2423</f>
        <v>54.697425468000006</v>
      </c>
      <c r="I41" s="135"/>
    </row>
    <row r="42" spans="1:12" ht="25.5" x14ac:dyDescent="0.25">
      <c r="A42" s="144" t="s">
        <v>430</v>
      </c>
      <c r="B42" s="53" t="s">
        <v>97</v>
      </c>
      <c r="C42" s="312" t="s">
        <v>455</v>
      </c>
      <c r="D42" s="72" t="s">
        <v>80</v>
      </c>
      <c r="E42" s="69" t="s">
        <v>53</v>
      </c>
      <c r="F42" s="502">
        <f>'MEMORIA DE CÁLCULO '!I394</f>
        <v>333.34000000000003</v>
      </c>
      <c r="G42" s="501">
        <v>67.239999999999995</v>
      </c>
      <c r="H42" s="145">
        <f t="shared" si="2"/>
        <v>27844.640881680003</v>
      </c>
      <c r="I42" s="135"/>
      <c r="J42" s="52"/>
    </row>
    <row r="43" spans="1:12" ht="34.5" customHeight="1" x14ac:dyDescent="0.25">
      <c r="A43" s="144" t="s">
        <v>126</v>
      </c>
      <c r="B43" s="53" t="s">
        <v>338</v>
      </c>
      <c r="C43" s="497" t="s">
        <v>499</v>
      </c>
      <c r="D43" s="98" t="s">
        <v>339</v>
      </c>
      <c r="E43" s="85" t="s">
        <v>15</v>
      </c>
      <c r="F43" s="101">
        <f>'MEMORIA DE CÁLCULO '!I400</f>
        <v>871.01</v>
      </c>
      <c r="G43" s="501">
        <v>25.34</v>
      </c>
      <c r="H43" s="145">
        <f t="shared" si="2"/>
        <v>27419.292020820001</v>
      </c>
      <c r="I43" s="135"/>
      <c r="J43" s="52"/>
    </row>
    <row r="44" spans="1:12" s="52" customFormat="1" ht="76.5" x14ac:dyDescent="0.25">
      <c r="A44" s="144" t="s">
        <v>431</v>
      </c>
      <c r="B44" s="83" t="s">
        <v>336</v>
      </c>
      <c r="C44" s="201" t="s">
        <v>334</v>
      </c>
      <c r="D44" s="133" t="s">
        <v>335</v>
      </c>
      <c r="E44" s="83" t="s">
        <v>22</v>
      </c>
      <c r="F44" s="134">
        <f>'MEMORIA DE CÁLCULO '!I404</f>
        <v>235.78</v>
      </c>
      <c r="G44" s="127">
        <v>13.25</v>
      </c>
      <c r="H44" s="145">
        <f t="shared" si="2"/>
        <v>3881.0507954999998</v>
      </c>
      <c r="I44" s="383"/>
      <c r="J44" s="135"/>
    </row>
    <row r="45" spans="1:12" s="52" customFormat="1" ht="25.5" x14ac:dyDescent="0.25">
      <c r="A45" s="144" t="s">
        <v>432</v>
      </c>
      <c r="B45" s="83" t="s">
        <v>298</v>
      </c>
      <c r="C45" s="201" t="s">
        <v>116</v>
      </c>
      <c r="D45" s="98" t="s">
        <v>469</v>
      </c>
      <c r="E45" s="83" t="s">
        <v>15</v>
      </c>
      <c r="F45" s="99">
        <f>'MEMORIA DE CÁLCULO '!I408</f>
        <v>499.82</v>
      </c>
      <c r="G45" s="70">
        <v>10.17</v>
      </c>
      <c r="H45" s="145">
        <f t="shared" si="2"/>
        <v>6314.8213456199992</v>
      </c>
      <c r="I45" s="384"/>
    </row>
    <row r="46" spans="1:12" ht="38.25" x14ac:dyDescent="0.25">
      <c r="A46" s="144" t="s">
        <v>433</v>
      </c>
      <c r="B46" s="53" t="s">
        <v>97</v>
      </c>
      <c r="C46" s="201" t="s">
        <v>437</v>
      </c>
      <c r="D46" s="55" t="s">
        <v>118</v>
      </c>
      <c r="E46" s="100" t="s">
        <v>37</v>
      </c>
      <c r="F46" s="101">
        <f>'MEMORIA DE CÁLCULO '!I413</f>
        <v>55</v>
      </c>
      <c r="G46" s="102">
        <v>190.86</v>
      </c>
      <c r="H46" s="145">
        <f t="shared" si="2"/>
        <v>13040.79579</v>
      </c>
      <c r="I46" s="385"/>
    </row>
    <row r="47" spans="1:12" ht="25.5" x14ac:dyDescent="0.25">
      <c r="A47" s="144" t="s">
        <v>434</v>
      </c>
      <c r="B47" s="83" t="s">
        <v>298</v>
      </c>
      <c r="C47" s="113" t="s">
        <v>471</v>
      </c>
      <c r="D47" s="55" t="s">
        <v>344</v>
      </c>
      <c r="E47" s="100" t="s">
        <v>37</v>
      </c>
      <c r="F47" s="101">
        <f>'MEMORIA DE CÁLCULO '!I417</f>
        <v>8</v>
      </c>
      <c r="G47" s="102">
        <v>60.9</v>
      </c>
      <c r="H47" s="145">
        <f t="shared" si="2"/>
        <v>605.24856</v>
      </c>
      <c r="I47" s="385"/>
    </row>
    <row r="48" spans="1:12" ht="25.5" x14ac:dyDescent="0.25">
      <c r="A48" s="144" t="s">
        <v>435</v>
      </c>
      <c r="B48" s="83" t="s">
        <v>338</v>
      </c>
      <c r="C48" s="497" t="s">
        <v>345</v>
      </c>
      <c r="D48" s="133" t="s">
        <v>467</v>
      </c>
      <c r="E48" s="83" t="s">
        <v>37</v>
      </c>
      <c r="F48" s="101">
        <f>'MEMORIA DE CÁLCULO '!I421</f>
        <v>8</v>
      </c>
      <c r="G48" s="501">
        <v>446.56</v>
      </c>
      <c r="H48" s="145">
        <f t="shared" si="2"/>
        <v>4438.0919039999999</v>
      </c>
      <c r="I48" s="385"/>
    </row>
    <row r="49" spans="1:10" x14ac:dyDescent="0.25">
      <c r="A49" s="144" t="s">
        <v>436</v>
      </c>
      <c r="B49" s="83" t="s">
        <v>336</v>
      </c>
      <c r="C49" s="497" t="s">
        <v>352</v>
      </c>
      <c r="D49" s="94" t="s">
        <v>468</v>
      </c>
      <c r="E49" s="83" t="s">
        <v>117</v>
      </c>
      <c r="F49" s="101">
        <f>'MEMORIA DE CÁLCULO '!I425</f>
        <v>1.73</v>
      </c>
      <c r="G49" s="501">
        <v>1572.47</v>
      </c>
      <c r="H49" s="145">
        <f t="shared" si="2"/>
        <v>3379.5195021299996</v>
      </c>
      <c r="I49" s="385"/>
    </row>
    <row r="50" spans="1:10" ht="18.75" customHeight="1" x14ac:dyDescent="0.25">
      <c r="A50" s="147" t="s">
        <v>461</v>
      </c>
      <c r="B50" s="79"/>
      <c r="C50" s="12"/>
      <c r="D50" s="13" t="s">
        <v>41</v>
      </c>
      <c r="E50" s="12"/>
      <c r="F50" s="12"/>
      <c r="G50" s="14"/>
      <c r="H50" s="143">
        <f>SUM(H51:H55)</f>
        <v>37624.897164999995</v>
      </c>
      <c r="I50" s="380"/>
    </row>
    <row r="51" spans="1:10" ht="48.75" customHeight="1" x14ac:dyDescent="0.25">
      <c r="A51" s="146" t="s">
        <v>81</v>
      </c>
      <c r="B51" s="187" t="s">
        <v>235</v>
      </c>
      <c r="C51" s="377" t="s">
        <v>358</v>
      </c>
      <c r="D51" s="188" t="s">
        <v>359</v>
      </c>
      <c r="E51" s="189" t="s">
        <v>15</v>
      </c>
      <c r="F51" s="190">
        <f>'MEMORIA DE CÁLCULO '!I430</f>
        <v>232.57</v>
      </c>
      <c r="G51" s="186">
        <v>7.86</v>
      </c>
      <c r="H51" s="389">
        <f t="shared" ref="H51:H55" si="3">ROUND(G51*F51,2)*1.2423</f>
        <v>2270.9243999999999</v>
      </c>
      <c r="I51" s="135"/>
    </row>
    <row r="52" spans="1:10" ht="54" customHeight="1" x14ac:dyDescent="0.25">
      <c r="A52" s="146" t="s">
        <v>462</v>
      </c>
      <c r="B52" s="83" t="s">
        <v>298</v>
      </c>
      <c r="C52" s="378">
        <v>72964</v>
      </c>
      <c r="D52" s="103" t="s">
        <v>124</v>
      </c>
      <c r="E52" s="104" t="s">
        <v>123</v>
      </c>
      <c r="F52" s="71">
        <f>'MEMORIA DE CÁLCULO '!I437</f>
        <v>0.55800000000000005</v>
      </c>
      <c r="G52" s="97">
        <v>170.23</v>
      </c>
      <c r="H52" s="389">
        <f>ROUND(G52*F52,2)*1.15</f>
        <v>109.23849999999999</v>
      </c>
      <c r="I52" s="380"/>
    </row>
    <row r="53" spans="1:10" ht="30.75" customHeight="1" x14ac:dyDescent="0.25">
      <c r="A53" s="146" t="s">
        <v>82</v>
      </c>
      <c r="B53" s="83" t="s">
        <v>298</v>
      </c>
      <c r="C53" s="378">
        <v>73370</v>
      </c>
      <c r="D53" s="103" t="s">
        <v>122</v>
      </c>
      <c r="E53" s="104" t="s">
        <v>121</v>
      </c>
      <c r="F53" s="71">
        <f>'MEMORIA DE CÁLCULO '!I443</f>
        <v>5.6</v>
      </c>
      <c r="G53" s="97">
        <v>0.89</v>
      </c>
      <c r="H53" s="389">
        <f t="shared" si="3"/>
        <v>6.1866540000000008</v>
      </c>
      <c r="I53" s="380"/>
    </row>
    <row r="54" spans="1:10" ht="25.5" x14ac:dyDescent="0.25">
      <c r="A54" s="146" t="s">
        <v>463</v>
      </c>
      <c r="B54" s="83" t="s">
        <v>298</v>
      </c>
      <c r="C54" s="201" t="s">
        <v>472</v>
      </c>
      <c r="D54" s="96" t="s">
        <v>312</v>
      </c>
      <c r="E54" s="83" t="s">
        <v>63</v>
      </c>
      <c r="F54" s="71">
        <f>'MEMORIA DE CÁLCULO '!I461</f>
        <v>929.07</v>
      </c>
      <c r="G54" s="105">
        <v>22.99</v>
      </c>
      <c r="H54" s="389">
        <f t="shared" si="3"/>
        <v>26534.683235999997</v>
      </c>
      <c r="I54" s="381"/>
      <c r="J54" s="81"/>
    </row>
    <row r="55" spans="1:10" ht="83.25" customHeight="1" x14ac:dyDescent="0.25">
      <c r="A55" s="146" t="s">
        <v>464</v>
      </c>
      <c r="B55" s="506" t="s">
        <v>298</v>
      </c>
      <c r="C55" s="507" t="s">
        <v>496</v>
      </c>
      <c r="D55" s="133" t="s">
        <v>497</v>
      </c>
      <c r="E55" s="158" t="s">
        <v>32</v>
      </c>
      <c r="F55" s="190">
        <f>'MEMORIA DE CÁLCULO '!I464</f>
        <v>266.60000000000002</v>
      </c>
      <c r="G55" s="162">
        <v>26.28</v>
      </c>
      <c r="H55" s="389">
        <f t="shared" si="3"/>
        <v>8703.8643749999992</v>
      </c>
      <c r="I55" s="380"/>
    </row>
    <row r="56" spans="1:10" s="112" customFormat="1" x14ac:dyDescent="0.25">
      <c r="A56" s="390" t="s">
        <v>38</v>
      </c>
      <c r="B56" s="154"/>
      <c r="C56" s="12"/>
      <c r="D56" s="13" t="s">
        <v>346</v>
      </c>
      <c r="E56" s="155"/>
      <c r="F56" s="12"/>
      <c r="G56" s="12"/>
      <c r="H56" s="143">
        <f>SUM(H57:H61)</f>
        <v>18006.554619000002</v>
      </c>
      <c r="I56" s="156"/>
    </row>
    <row r="57" spans="1:10" s="112" customFormat="1" ht="38.25" x14ac:dyDescent="0.25">
      <c r="A57" s="391" t="s">
        <v>62</v>
      </c>
      <c r="B57" s="83" t="s">
        <v>298</v>
      </c>
      <c r="C57" s="113" t="s">
        <v>324</v>
      </c>
      <c r="D57" s="159" t="s">
        <v>325</v>
      </c>
      <c r="E57" s="160" t="s">
        <v>326</v>
      </c>
      <c r="F57" s="161">
        <f>'MEMORIA DE CÁLCULO '!I469</f>
        <v>25.9191</v>
      </c>
      <c r="G57" s="162">
        <v>26.42</v>
      </c>
      <c r="H57" s="387">
        <f>ROUND(G57*F57,2)*1.2423</f>
        <v>850.70219399999996</v>
      </c>
      <c r="I57" s="156"/>
    </row>
    <row r="58" spans="1:10" s="112" customFormat="1" ht="51" x14ac:dyDescent="0.25">
      <c r="A58" s="391" t="s">
        <v>107</v>
      </c>
      <c r="B58" s="158" t="s">
        <v>336</v>
      </c>
      <c r="C58" s="310" t="s">
        <v>347</v>
      </c>
      <c r="D58" s="163" t="s">
        <v>348</v>
      </c>
      <c r="E58" s="157" t="s">
        <v>117</v>
      </c>
      <c r="F58" s="164">
        <f>'MEMORIA DE CÁLCULO '!I474</f>
        <v>33.694830000000003</v>
      </c>
      <c r="G58" s="165">
        <v>44.95</v>
      </c>
      <c r="H58" s="387">
        <f t="shared" ref="H58:H61" si="4">ROUND(G58*F58,2)*1.2423</f>
        <v>1881.5627339999999</v>
      </c>
      <c r="I58" s="156"/>
    </row>
    <row r="59" spans="1:10" s="112" customFormat="1" ht="63.75" x14ac:dyDescent="0.25">
      <c r="A59" s="391" t="s">
        <v>39</v>
      </c>
      <c r="B59" s="158" t="s">
        <v>349</v>
      </c>
      <c r="C59" s="113" t="s">
        <v>350</v>
      </c>
      <c r="D59" s="159" t="s">
        <v>351</v>
      </c>
      <c r="E59" s="160" t="s">
        <v>326</v>
      </c>
      <c r="F59" s="164">
        <f>'MEMORIA DE CÁLCULO '!I478</f>
        <v>2.7647040000000001</v>
      </c>
      <c r="G59" s="166">
        <v>1860.98</v>
      </c>
      <c r="H59" s="387">
        <f t="shared" si="4"/>
        <v>6391.7080380000007</v>
      </c>
      <c r="I59" s="156"/>
    </row>
    <row r="60" spans="1:10" s="112" customFormat="1" ht="63.75" x14ac:dyDescent="0.25">
      <c r="A60" s="391" t="s">
        <v>40</v>
      </c>
      <c r="B60" s="158" t="s">
        <v>349</v>
      </c>
      <c r="C60" s="201" t="s">
        <v>352</v>
      </c>
      <c r="D60" s="167" t="s">
        <v>353</v>
      </c>
      <c r="E60" s="158" t="s">
        <v>117</v>
      </c>
      <c r="F60" s="164">
        <f>'MEMORIA DE CÁLCULO '!I482</f>
        <v>3.4558800000000005</v>
      </c>
      <c r="G60" s="166">
        <v>1572.47</v>
      </c>
      <c r="H60" s="387">
        <f t="shared" si="4"/>
        <v>6750.9936210000005</v>
      </c>
      <c r="I60" s="156"/>
    </row>
    <row r="61" spans="1:10" s="112" customFormat="1" ht="25.5" x14ac:dyDescent="0.25">
      <c r="A61" s="391" t="s">
        <v>83</v>
      </c>
      <c r="B61" s="83" t="s">
        <v>298</v>
      </c>
      <c r="C61" s="311" t="s">
        <v>330</v>
      </c>
      <c r="D61" s="168" t="s">
        <v>331</v>
      </c>
      <c r="E61" s="158" t="s">
        <v>15</v>
      </c>
      <c r="F61" s="164">
        <f>'MEMORIA DE CÁLCULO '!I486</f>
        <v>86.397000000000006</v>
      </c>
      <c r="G61" s="166">
        <v>19.86</v>
      </c>
      <c r="H61" s="387">
        <f t="shared" si="4"/>
        <v>2131.5880319999997</v>
      </c>
      <c r="I61" s="156"/>
    </row>
    <row r="62" spans="1:10" ht="15.75" thickBot="1" x14ac:dyDescent="0.3">
      <c r="A62" s="148"/>
      <c r="B62" s="149"/>
      <c r="C62" s="150"/>
      <c r="D62" s="151" t="s">
        <v>30</v>
      </c>
      <c r="E62" s="152"/>
      <c r="F62" s="152"/>
      <c r="G62" s="152"/>
      <c r="H62" s="153">
        <f>H10+H31+H50+H56</f>
        <v>659762.65390514419</v>
      </c>
      <c r="I62" s="386"/>
    </row>
    <row r="63" spans="1:10" ht="15" customHeight="1" x14ac:dyDescent="0.25">
      <c r="A63" s="512" t="s">
        <v>473</v>
      </c>
      <c r="B63" s="512"/>
      <c r="C63" s="512"/>
      <c r="D63" s="512"/>
      <c r="E63" s="512"/>
      <c r="F63" s="512"/>
      <c r="G63" s="512"/>
      <c r="H63" s="512"/>
      <c r="I63" s="430"/>
    </row>
    <row r="64" spans="1:10" x14ac:dyDescent="0.25">
      <c r="A64" s="1"/>
      <c r="B64" s="1"/>
      <c r="C64" s="2"/>
      <c r="D64" s="1"/>
      <c r="E64" s="1"/>
      <c r="F64" s="1"/>
      <c r="G64" s="1"/>
      <c r="H64" s="1"/>
      <c r="I64" s="1"/>
    </row>
    <row r="68" spans="1:2" x14ac:dyDescent="0.25">
      <c r="A68" s="12"/>
      <c r="B68" s="80"/>
    </row>
  </sheetData>
  <mergeCells count="18">
    <mergeCell ref="D6:H6"/>
    <mergeCell ref="A1:H1"/>
    <mergeCell ref="A2:G2"/>
    <mergeCell ref="A3:C3"/>
    <mergeCell ref="D3:H3"/>
    <mergeCell ref="A4:C4"/>
    <mergeCell ref="D4:H4"/>
    <mergeCell ref="A5:C5"/>
    <mergeCell ref="D5:H5"/>
    <mergeCell ref="A6:C6"/>
    <mergeCell ref="C7:C8"/>
    <mergeCell ref="D7:D8"/>
    <mergeCell ref="E7:E8"/>
    <mergeCell ref="B7:B8"/>
    <mergeCell ref="A63:H63"/>
    <mergeCell ref="F7:F8"/>
    <mergeCell ref="G7:H7"/>
    <mergeCell ref="A7:A8"/>
  </mergeCells>
  <printOptions horizontalCentered="1"/>
  <pageMargins left="0.51181102362204722" right="0.51181102362204722" top="0.78740157480314965" bottom="0.59055118110236227" header="0.31496062992125984" footer="0.31496062992125984"/>
  <pageSetup paperSize="9" scale="79" orientation="portrait" horizontalDpi="4294967295" verticalDpi="4294967295" r:id="rId1"/>
  <headerFooter>
    <oddFooter>&amp;R&amp;P</oddFooter>
  </headerFooter>
  <rowBreaks count="2" manualBreakCount="2">
    <brk id="32" max="7" man="1"/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8"/>
  <sheetViews>
    <sheetView view="pageBreakPreview" zoomScaleSheetLayoutView="100" workbookViewId="0">
      <pane ySplit="9" topLeftCell="A423" activePane="bottomLeft" state="frozen"/>
      <selection pane="bottomLeft" activeCell="I428" sqref="I428"/>
    </sheetView>
  </sheetViews>
  <sheetFormatPr defaultRowHeight="15" x14ac:dyDescent="0.25"/>
  <cols>
    <col min="1" max="1" width="12.7109375" customWidth="1"/>
    <col min="2" max="2" width="12" customWidth="1"/>
    <col min="3" max="3" width="36.42578125" customWidth="1"/>
    <col min="4" max="10" width="10" customWidth="1"/>
    <col min="13" max="13" width="15.7109375" customWidth="1"/>
  </cols>
  <sheetData>
    <row r="1" spans="1:10" ht="54" customHeight="1" x14ac:dyDescent="0.25">
      <c r="A1" s="494"/>
      <c r="B1" s="495"/>
      <c r="C1" s="496"/>
      <c r="D1" s="496"/>
      <c r="E1" s="496"/>
      <c r="F1" s="496"/>
      <c r="G1" s="496"/>
      <c r="H1" s="496"/>
      <c r="I1" s="496"/>
      <c r="J1" s="50"/>
    </row>
    <row r="2" spans="1:10" x14ac:dyDescent="0.25">
      <c r="A2" s="547"/>
      <c r="B2" s="547"/>
      <c r="C2" s="547"/>
      <c r="D2" s="547"/>
      <c r="E2" s="547"/>
      <c r="F2" s="547"/>
      <c r="G2" s="547"/>
      <c r="H2" s="547"/>
      <c r="I2" s="547"/>
      <c r="J2" s="548"/>
    </row>
    <row r="3" spans="1:10" ht="16.5" hidden="1" x14ac:dyDescent="0.25">
      <c r="A3" s="549" t="s">
        <v>43</v>
      </c>
      <c r="B3" s="549"/>
      <c r="C3" s="549"/>
      <c r="D3" s="549"/>
      <c r="E3" s="549"/>
      <c r="F3" s="549"/>
      <c r="G3" s="549"/>
      <c r="H3" s="549"/>
      <c r="I3" s="550">
        <v>41306</v>
      </c>
      <c r="J3" s="550"/>
    </row>
    <row r="4" spans="1:10" ht="27.75" customHeight="1" x14ac:dyDescent="0.25">
      <c r="A4" s="537" t="s">
        <v>1</v>
      </c>
      <c r="B4" s="538"/>
      <c r="C4" s="526" t="s">
        <v>68</v>
      </c>
      <c r="D4" s="527"/>
      <c r="E4" s="527"/>
      <c r="F4" s="527"/>
      <c r="G4" s="527"/>
      <c r="H4" s="527"/>
      <c r="I4" s="527"/>
      <c r="J4" s="551"/>
    </row>
    <row r="5" spans="1:10" x14ac:dyDescent="0.25">
      <c r="A5" s="537" t="s">
        <v>2</v>
      </c>
      <c r="B5" s="538"/>
      <c r="C5" s="546" t="s">
        <v>3</v>
      </c>
      <c r="D5" s="546"/>
      <c r="E5" s="546"/>
      <c r="F5" s="546"/>
      <c r="G5" s="546"/>
      <c r="H5" s="546"/>
      <c r="I5" s="546"/>
      <c r="J5" s="546"/>
    </row>
    <row r="6" spans="1:10" x14ac:dyDescent="0.25">
      <c r="A6" s="537" t="s">
        <v>4</v>
      </c>
      <c r="B6" s="538"/>
      <c r="C6" s="546" t="s">
        <v>460</v>
      </c>
      <c r="D6" s="546"/>
      <c r="E6" s="546"/>
      <c r="F6" s="546"/>
      <c r="G6" s="546"/>
      <c r="H6" s="546"/>
      <c r="I6" s="546"/>
      <c r="J6" s="546"/>
    </row>
    <row r="7" spans="1:10" x14ac:dyDescent="0.25">
      <c r="A7" s="537" t="s">
        <v>5</v>
      </c>
      <c r="B7" s="538"/>
      <c r="C7" s="546" t="s">
        <v>69</v>
      </c>
      <c r="D7" s="546"/>
      <c r="E7" s="546"/>
      <c r="F7" s="546"/>
      <c r="G7" s="546"/>
      <c r="H7" s="546"/>
      <c r="I7" s="546"/>
      <c r="J7" s="546"/>
    </row>
    <row r="8" spans="1:10" x14ac:dyDescent="0.25">
      <c r="A8" s="543" t="s">
        <v>67</v>
      </c>
      <c r="B8" s="544"/>
      <c r="C8" s="544"/>
      <c r="D8" s="544"/>
      <c r="E8" s="544"/>
      <c r="F8" s="544"/>
      <c r="G8" s="544"/>
      <c r="H8" s="544"/>
      <c r="I8" s="544"/>
      <c r="J8" s="545"/>
    </row>
    <row r="9" spans="1:10" ht="21.75" customHeight="1" x14ac:dyDescent="0.25">
      <c r="A9" s="21" t="s">
        <v>7</v>
      </c>
      <c r="B9" s="21"/>
      <c r="C9" s="22" t="s">
        <v>44</v>
      </c>
      <c r="D9" s="23" t="s">
        <v>45</v>
      </c>
      <c r="E9" s="23" t="s">
        <v>46</v>
      </c>
      <c r="F9" s="24" t="s">
        <v>47</v>
      </c>
      <c r="G9" s="23" t="s">
        <v>86</v>
      </c>
      <c r="H9" s="23" t="s">
        <v>48</v>
      </c>
      <c r="I9" s="23" t="s">
        <v>10</v>
      </c>
      <c r="J9" s="22" t="s">
        <v>49</v>
      </c>
    </row>
    <row r="10" spans="1:10" x14ac:dyDescent="0.25">
      <c r="A10" s="539" t="s">
        <v>31</v>
      </c>
      <c r="B10" s="540"/>
      <c r="C10" s="541"/>
      <c r="D10" s="541"/>
      <c r="E10" s="541"/>
      <c r="F10" s="541"/>
      <c r="G10" s="541"/>
      <c r="H10" s="541"/>
      <c r="I10" s="541"/>
      <c r="J10" s="542"/>
    </row>
    <row r="11" spans="1:10" ht="43.5" customHeight="1" x14ac:dyDescent="0.25">
      <c r="A11" s="201" t="str">
        <f>PLANILHA!C11</f>
        <v>74209/001</v>
      </c>
      <c r="B11" s="201" t="str">
        <f>PLANILHA!A11</f>
        <v>1.1</v>
      </c>
      <c r="C11" s="106" t="str">
        <f>PLANILHA!D11</f>
        <v>Placa de obra em chapa de aço galvanizado.</v>
      </c>
      <c r="D11" s="26"/>
      <c r="E11" s="26"/>
      <c r="F11" s="26"/>
      <c r="G11" s="26"/>
      <c r="H11" s="26"/>
      <c r="I11" s="26"/>
      <c r="J11" s="26"/>
    </row>
    <row r="12" spans="1:10" ht="15" customHeight="1" x14ac:dyDescent="0.25">
      <c r="A12" s="25"/>
      <c r="B12" s="25"/>
      <c r="C12" s="27" t="s">
        <v>84</v>
      </c>
      <c r="D12" s="75">
        <v>3.51</v>
      </c>
      <c r="E12" s="76"/>
      <c r="F12" s="75">
        <v>2.5059999999999998</v>
      </c>
      <c r="G12" s="75"/>
      <c r="H12" s="26">
        <v>1</v>
      </c>
      <c r="I12" s="26">
        <f>PRODUCT(D12:H12)</f>
        <v>8.7960599999999989</v>
      </c>
      <c r="J12" s="29"/>
    </row>
    <row r="13" spans="1:10" ht="12.75" customHeight="1" x14ac:dyDescent="0.25">
      <c r="A13" s="25"/>
      <c r="B13" s="25"/>
      <c r="C13" s="30" t="s">
        <v>50</v>
      </c>
      <c r="D13" s="31"/>
      <c r="E13" s="32"/>
      <c r="F13" s="32"/>
      <c r="G13" s="32"/>
      <c r="H13" s="32"/>
      <c r="I13" s="31">
        <f>I12</f>
        <v>8.7960599999999989</v>
      </c>
      <c r="J13" s="20" t="s">
        <v>15</v>
      </c>
    </row>
    <row r="14" spans="1:10" x14ac:dyDescent="0.25">
      <c r="A14" s="25"/>
      <c r="B14" s="25"/>
      <c r="C14" s="33"/>
      <c r="D14" s="34"/>
      <c r="E14" s="35"/>
      <c r="F14" s="36"/>
      <c r="G14" s="36"/>
      <c r="H14" s="37"/>
      <c r="I14" s="38"/>
      <c r="J14" s="39"/>
    </row>
    <row r="15" spans="1:10" ht="64.5" customHeight="1" x14ac:dyDescent="0.25">
      <c r="A15" s="113" t="str">
        <f>PLANILHA!C12</f>
        <v>74210/001</v>
      </c>
      <c r="B15" s="113" t="str">
        <f>PLANILHA!A12</f>
        <v>1.2</v>
      </c>
      <c r="C15" s="54" t="str">
        <f>PLANILHA!D12</f>
        <v>Barracão para deposito em tábuas de madeira, cobertura em fibrocimento 4 mm, incluso piso argamassa traço 1:6 (cimento e areia).</v>
      </c>
      <c r="D15" s="26"/>
      <c r="E15" s="26"/>
      <c r="F15" s="26"/>
      <c r="G15" s="26"/>
      <c r="H15" s="26"/>
      <c r="I15" s="26"/>
      <c r="J15" s="26"/>
    </row>
    <row r="16" spans="1:10" ht="16.5" customHeight="1" x14ac:dyDescent="0.25">
      <c r="A16" s="25"/>
      <c r="B16" s="25"/>
      <c r="C16" s="27" t="s">
        <v>84</v>
      </c>
      <c r="D16" s="28">
        <v>25</v>
      </c>
      <c r="E16" s="28"/>
      <c r="F16" s="75">
        <v>2</v>
      </c>
      <c r="G16" s="75"/>
      <c r="H16" s="26">
        <v>1</v>
      </c>
      <c r="I16" s="26">
        <f>PRODUCT(D16:H16)</f>
        <v>50</v>
      </c>
      <c r="J16" s="29"/>
    </row>
    <row r="17" spans="1:10" ht="12.75" customHeight="1" x14ac:dyDescent="0.25">
      <c r="A17" s="25"/>
      <c r="B17" s="25"/>
      <c r="C17" s="30" t="s">
        <v>50</v>
      </c>
      <c r="D17" s="31"/>
      <c r="E17" s="32"/>
      <c r="F17" s="32"/>
      <c r="G17" s="32"/>
      <c r="H17" s="32"/>
      <c r="I17" s="31">
        <f>I16</f>
        <v>50</v>
      </c>
      <c r="J17" s="20" t="s">
        <v>15</v>
      </c>
    </row>
    <row r="18" spans="1:10" x14ac:dyDescent="0.25">
      <c r="A18" s="25"/>
      <c r="B18" s="25"/>
      <c r="C18" s="33"/>
      <c r="D18" s="34"/>
      <c r="E18" s="35"/>
      <c r="F18" s="36"/>
      <c r="G18" s="36"/>
      <c r="H18" s="37"/>
      <c r="I18" s="38"/>
      <c r="J18" s="39"/>
    </row>
    <row r="19" spans="1:10" ht="55.5" customHeight="1" x14ac:dyDescent="0.25">
      <c r="A19" s="113" t="str">
        <f>PLANILHA!C13</f>
        <v>02.01.200</v>
      </c>
      <c r="B19" s="113" t="str">
        <f>PLANILHA!A13</f>
        <v>1.3</v>
      </c>
      <c r="C19" s="54" t="str">
        <f>PLANILHA!D13</f>
        <v>Serviço topográfico de pequeno porte (preço mínimo), diária de uma equipe com topógrafo, quatro auxiliares, teodolito, nível ótico etc.</v>
      </c>
      <c r="D19" s="26"/>
      <c r="E19" s="26"/>
      <c r="F19" s="26"/>
      <c r="G19" s="26"/>
      <c r="H19" s="26"/>
      <c r="I19" s="26"/>
      <c r="J19" s="26"/>
    </row>
    <row r="20" spans="1:10" ht="12" customHeight="1" x14ac:dyDescent="0.25">
      <c r="A20" s="25"/>
      <c r="B20" s="25"/>
      <c r="C20" s="27"/>
      <c r="D20" s="26"/>
      <c r="E20" s="26"/>
      <c r="F20" s="26"/>
      <c r="G20" s="26"/>
      <c r="H20" s="26">
        <v>5</v>
      </c>
      <c r="I20" s="26">
        <f>PRODUCT(D20:H20)</f>
        <v>5</v>
      </c>
      <c r="J20" s="26"/>
    </row>
    <row r="21" spans="1:10" ht="18" customHeight="1" x14ac:dyDescent="0.25">
      <c r="A21" s="25"/>
      <c r="B21" s="25"/>
      <c r="C21" s="30" t="s">
        <v>51</v>
      </c>
      <c r="D21" s="31"/>
      <c r="E21" s="32"/>
      <c r="F21" s="32"/>
      <c r="G21" s="32"/>
      <c r="H21" s="32"/>
      <c r="I21" s="31">
        <f>I20</f>
        <v>5</v>
      </c>
      <c r="J21" s="20" t="s">
        <v>49</v>
      </c>
    </row>
    <row r="22" spans="1:10" x14ac:dyDescent="0.25">
      <c r="A22" s="25"/>
      <c r="B22" s="25"/>
      <c r="C22" s="27" t="s">
        <v>52</v>
      </c>
      <c r="D22" s="40"/>
      <c r="E22" s="41"/>
      <c r="F22" s="41"/>
      <c r="G22" s="41"/>
      <c r="H22" s="41"/>
      <c r="I22" s="42"/>
      <c r="J22" s="29"/>
    </row>
    <row r="23" spans="1:10" ht="102" customHeight="1" x14ac:dyDescent="0.25">
      <c r="A23" s="113" t="str">
        <f>PLANILHA!C14</f>
        <v>03.03.045</v>
      </c>
      <c r="B23" s="113" t="str">
        <f>PLANILHA!A14</f>
        <v>1.4</v>
      </c>
      <c r="C23" s="54" t="str">
        <f>PLANILHA!D14</f>
        <v xml:space="preserve">Fornecimento e montagem de tela de sinalizacao laranja(h=1,2m) fixada em montan tes  de ferro de 1/2 pol. ou em barrotes de  madeira 3x3 pol. colocados sobre base de concreto traco 1:4:8 , espacados a cada 2 m, inclusive posterior retirada e reaproveitamento.
</v>
      </c>
      <c r="D23" s="26"/>
      <c r="E23" s="26"/>
      <c r="F23" s="26"/>
      <c r="G23" s="26"/>
      <c r="H23" s="26"/>
      <c r="I23" s="26"/>
      <c r="J23" s="29"/>
    </row>
    <row r="24" spans="1:10" ht="23.25" customHeight="1" x14ac:dyDescent="0.25">
      <c r="A24" s="25"/>
      <c r="B24" s="25"/>
      <c r="C24" s="27"/>
      <c r="D24" s="26"/>
      <c r="E24" s="41"/>
      <c r="F24" s="41"/>
      <c r="G24" s="41"/>
      <c r="H24" s="41"/>
      <c r="I24" s="26"/>
      <c r="J24" s="29"/>
    </row>
    <row r="25" spans="1:10" s="112" customFormat="1" ht="24" x14ac:dyDescent="0.25">
      <c r="A25" s="25"/>
      <c r="B25" s="25"/>
      <c r="C25" s="117" t="s">
        <v>128</v>
      </c>
      <c r="D25" s="40"/>
      <c r="E25" s="26"/>
      <c r="F25" s="26"/>
      <c r="G25" s="26"/>
      <c r="H25" s="26"/>
      <c r="I25" s="38"/>
      <c r="J25" s="29"/>
    </row>
    <row r="26" spans="1:10" s="112" customFormat="1" ht="24" x14ac:dyDescent="0.25">
      <c r="A26" s="25"/>
      <c r="B26" s="25"/>
      <c r="C26" s="111" t="s">
        <v>127</v>
      </c>
      <c r="D26" s="110">
        <f>3.1+16.44+3.98+7.88+1.95+21.93+4.75+12.18+5.49+3.75+4.66+2.66</f>
        <v>88.77</v>
      </c>
      <c r="E26" s="26"/>
      <c r="F26" s="26"/>
      <c r="G26" s="26"/>
      <c r="H26" s="26"/>
      <c r="I26" s="38">
        <f>D26</f>
        <v>88.77</v>
      </c>
      <c r="J26" s="29"/>
    </row>
    <row r="27" spans="1:10" s="112" customFormat="1" x14ac:dyDescent="0.25">
      <c r="A27" s="25"/>
      <c r="B27" s="25"/>
      <c r="C27" s="117" t="s">
        <v>130</v>
      </c>
      <c r="D27" s="40"/>
      <c r="E27" s="26"/>
      <c r="F27" s="26"/>
      <c r="G27" s="26"/>
      <c r="H27" s="26"/>
      <c r="I27" s="38">
        <f t="shared" ref="I27:I84" si="0">D27</f>
        <v>0</v>
      </c>
      <c r="J27" s="29"/>
    </row>
    <row r="28" spans="1:10" s="112" customFormat="1" ht="24" x14ac:dyDescent="0.25">
      <c r="A28" s="25"/>
      <c r="B28" s="25"/>
      <c r="C28" s="111" t="s">
        <v>129</v>
      </c>
      <c r="D28" s="110">
        <f>1.79+1.9+0.5+4+0.5+5+4.85+4.25</f>
        <v>22.79</v>
      </c>
      <c r="E28" s="26"/>
      <c r="F28" s="26"/>
      <c r="G28" s="26"/>
      <c r="H28" s="26"/>
      <c r="I28" s="38">
        <f t="shared" si="0"/>
        <v>22.79</v>
      </c>
      <c r="J28" s="29"/>
    </row>
    <row r="29" spans="1:10" s="112" customFormat="1" x14ac:dyDescent="0.25">
      <c r="A29" s="25"/>
      <c r="B29" s="25"/>
      <c r="C29" s="117" t="s">
        <v>131</v>
      </c>
      <c r="D29" s="40"/>
      <c r="E29" s="26"/>
      <c r="F29" s="26"/>
      <c r="G29" s="26"/>
      <c r="H29" s="26"/>
      <c r="I29" s="38">
        <f t="shared" si="0"/>
        <v>0</v>
      </c>
      <c r="J29" s="29"/>
    </row>
    <row r="30" spans="1:10" s="112" customFormat="1" x14ac:dyDescent="0.25">
      <c r="A30" s="25"/>
      <c r="B30" s="25"/>
      <c r="C30" s="111" t="s">
        <v>153</v>
      </c>
      <c r="D30" s="110">
        <f>2.2+0.85+4+0.85+2.2</f>
        <v>10.100000000000001</v>
      </c>
      <c r="E30" s="26"/>
      <c r="F30" s="26"/>
      <c r="G30" s="26"/>
      <c r="H30" s="26"/>
      <c r="I30" s="38">
        <f t="shared" si="0"/>
        <v>10.100000000000001</v>
      </c>
      <c r="J30" s="29"/>
    </row>
    <row r="31" spans="1:10" s="112" customFormat="1" x14ac:dyDescent="0.25">
      <c r="A31" s="25"/>
      <c r="B31" s="25"/>
      <c r="C31" s="117" t="s">
        <v>131</v>
      </c>
      <c r="D31" s="40"/>
      <c r="E31" s="26"/>
      <c r="F31" s="26"/>
      <c r="G31" s="26"/>
      <c r="H31" s="26"/>
      <c r="I31" s="38">
        <f t="shared" si="0"/>
        <v>0</v>
      </c>
      <c r="J31" s="29"/>
    </row>
    <row r="32" spans="1:10" s="112" customFormat="1" x14ac:dyDescent="0.25">
      <c r="A32" s="25"/>
      <c r="B32" s="25"/>
      <c r="C32" s="111" t="s">
        <v>154</v>
      </c>
      <c r="D32" s="110">
        <f>2.2+0.85+4+0.85+2.2</f>
        <v>10.100000000000001</v>
      </c>
      <c r="E32" s="26"/>
      <c r="F32" s="26"/>
      <c r="G32" s="26"/>
      <c r="H32" s="26"/>
      <c r="I32" s="38">
        <f t="shared" si="0"/>
        <v>10.100000000000001</v>
      </c>
      <c r="J32" s="29"/>
    </row>
    <row r="33" spans="1:10" s="112" customFormat="1" x14ac:dyDescent="0.25">
      <c r="A33" s="25"/>
      <c r="B33" s="25"/>
      <c r="C33" s="117" t="s">
        <v>132</v>
      </c>
      <c r="D33" s="40"/>
      <c r="E33" s="26"/>
      <c r="F33" s="26"/>
      <c r="G33" s="26"/>
      <c r="H33" s="26"/>
      <c r="I33" s="38">
        <f t="shared" si="0"/>
        <v>0</v>
      </c>
      <c r="J33" s="29"/>
    </row>
    <row r="34" spans="1:10" s="112" customFormat="1" x14ac:dyDescent="0.25">
      <c r="A34" s="25"/>
      <c r="B34" s="25"/>
      <c r="C34" s="111" t="s">
        <v>133</v>
      </c>
      <c r="D34" s="110">
        <f>2.17+2.65+3.59+3.59</f>
        <v>12</v>
      </c>
      <c r="E34" s="26"/>
      <c r="F34" s="26"/>
      <c r="G34" s="26"/>
      <c r="H34" s="26"/>
      <c r="I34" s="38">
        <f t="shared" si="0"/>
        <v>12</v>
      </c>
      <c r="J34" s="29"/>
    </row>
    <row r="35" spans="1:10" s="112" customFormat="1" x14ac:dyDescent="0.25">
      <c r="A35" s="25"/>
      <c r="B35" s="25"/>
      <c r="C35" s="117" t="s">
        <v>134</v>
      </c>
      <c r="D35" s="40"/>
      <c r="E35" s="26"/>
      <c r="F35" s="26"/>
      <c r="G35" s="26"/>
      <c r="H35" s="26"/>
      <c r="I35" s="38">
        <f t="shared" si="0"/>
        <v>0</v>
      </c>
      <c r="J35" s="29"/>
    </row>
    <row r="36" spans="1:10" s="112" customFormat="1" ht="24" x14ac:dyDescent="0.25">
      <c r="A36" s="25"/>
      <c r="B36" s="25"/>
      <c r="C36" s="111" t="s">
        <v>135</v>
      </c>
      <c r="D36" s="110">
        <f>3.18+1.19+1.68+1.83+2.7+3.3+4.95+2.1+2.33+2+2.96</f>
        <v>28.22</v>
      </c>
      <c r="E36" s="26"/>
      <c r="F36" s="26"/>
      <c r="G36" s="26"/>
      <c r="H36" s="26"/>
      <c r="I36" s="38">
        <f t="shared" si="0"/>
        <v>28.22</v>
      </c>
      <c r="J36" s="29"/>
    </row>
    <row r="37" spans="1:10" s="112" customFormat="1" x14ac:dyDescent="0.25">
      <c r="A37" s="25"/>
      <c r="B37" s="25"/>
      <c r="C37" s="117" t="s">
        <v>131</v>
      </c>
      <c r="D37" s="40"/>
      <c r="E37" s="26"/>
      <c r="F37" s="26"/>
      <c r="G37" s="26"/>
      <c r="H37" s="26"/>
      <c r="I37" s="38">
        <f t="shared" si="0"/>
        <v>0</v>
      </c>
      <c r="J37" s="29"/>
    </row>
    <row r="38" spans="1:10" s="112" customFormat="1" x14ac:dyDescent="0.25">
      <c r="A38" s="25"/>
      <c r="B38" s="25"/>
      <c r="C38" s="111" t="s">
        <v>136</v>
      </c>
      <c r="D38" s="110">
        <f>3.21+1.95+0.7+5+0.7+2.06+3.2</f>
        <v>16.82</v>
      </c>
      <c r="E38" s="26"/>
      <c r="F38" s="26"/>
      <c r="G38" s="26"/>
      <c r="H38" s="26"/>
      <c r="I38" s="38">
        <f t="shared" si="0"/>
        <v>16.82</v>
      </c>
      <c r="J38" s="29"/>
    </row>
    <row r="39" spans="1:10" s="112" customFormat="1" ht="24" x14ac:dyDescent="0.25">
      <c r="A39" s="25"/>
      <c r="B39" s="25"/>
      <c r="C39" s="117" t="s">
        <v>137</v>
      </c>
      <c r="D39" s="40"/>
      <c r="E39" s="26"/>
      <c r="F39" s="26"/>
      <c r="G39" s="26"/>
      <c r="H39" s="26"/>
      <c r="I39" s="38">
        <f t="shared" si="0"/>
        <v>0</v>
      </c>
      <c r="J39" s="29"/>
    </row>
    <row r="40" spans="1:10" s="112" customFormat="1" ht="24" x14ac:dyDescent="0.25">
      <c r="A40" s="25"/>
      <c r="B40" s="25"/>
      <c r="C40" s="111" t="s">
        <v>138</v>
      </c>
      <c r="D40" s="110">
        <f>2.87+43.07+5+0.24+6.79+42.92+2.61</f>
        <v>103.5</v>
      </c>
      <c r="E40" s="26"/>
      <c r="F40" s="26"/>
      <c r="G40" s="26"/>
      <c r="H40" s="26"/>
      <c r="I40" s="38">
        <f t="shared" si="0"/>
        <v>103.5</v>
      </c>
      <c r="J40" s="29"/>
    </row>
    <row r="41" spans="1:10" s="112" customFormat="1" x14ac:dyDescent="0.25">
      <c r="A41" s="25"/>
      <c r="B41" s="25"/>
      <c r="C41" s="117" t="s">
        <v>139</v>
      </c>
      <c r="D41" s="40"/>
      <c r="E41" s="26"/>
      <c r="F41" s="26"/>
      <c r="G41" s="26"/>
      <c r="H41" s="26"/>
      <c r="I41" s="38">
        <f t="shared" si="0"/>
        <v>0</v>
      </c>
      <c r="J41" s="29"/>
    </row>
    <row r="42" spans="1:10" s="112" customFormat="1" x14ac:dyDescent="0.25">
      <c r="A42" s="25"/>
      <c r="B42" s="25"/>
      <c r="C42" s="111" t="s">
        <v>140</v>
      </c>
      <c r="D42" s="110">
        <f>3.42+8.48+3.22</f>
        <v>15.120000000000001</v>
      </c>
      <c r="E42" s="26"/>
      <c r="F42" s="26"/>
      <c r="G42" s="26"/>
      <c r="H42" s="26"/>
      <c r="I42" s="38">
        <f t="shared" si="0"/>
        <v>15.120000000000001</v>
      </c>
      <c r="J42" s="29"/>
    </row>
    <row r="43" spans="1:10" s="112" customFormat="1" x14ac:dyDescent="0.25">
      <c r="A43" s="25"/>
      <c r="B43" s="25"/>
      <c r="C43" s="117" t="s">
        <v>236</v>
      </c>
      <c r="D43" s="40"/>
      <c r="E43" s="26"/>
      <c r="F43" s="26"/>
      <c r="G43" s="26"/>
      <c r="H43" s="26"/>
      <c r="I43" s="38">
        <f t="shared" si="0"/>
        <v>0</v>
      </c>
      <c r="J43" s="29"/>
    </row>
    <row r="44" spans="1:10" s="112" customFormat="1" x14ac:dyDescent="0.25">
      <c r="A44" s="25"/>
      <c r="B44" s="25"/>
      <c r="C44" s="111" t="s">
        <v>141</v>
      </c>
      <c r="D44" s="110">
        <f>1.86+2.58+1.53</f>
        <v>5.9700000000000006</v>
      </c>
      <c r="E44" s="26"/>
      <c r="F44" s="26"/>
      <c r="G44" s="26"/>
      <c r="H44" s="26"/>
      <c r="I44" s="38">
        <f t="shared" si="0"/>
        <v>5.9700000000000006</v>
      </c>
      <c r="J44" s="29"/>
    </row>
    <row r="45" spans="1:10" s="112" customFormat="1" x14ac:dyDescent="0.25">
      <c r="A45" s="25"/>
      <c r="B45" s="25"/>
      <c r="C45" s="117" t="s">
        <v>142</v>
      </c>
      <c r="D45" s="40"/>
      <c r="E45" s="26"/>
      <c r="F45" s="26"/>
      <c r="G45" s="26"/>
      <c r="H45" s="26"/>
      <c r="I45" s="38">
        <f t="shared" si="0"/>
        <v>0</v>
      </c>
      <c r="J45" s="29"/>
    </row>
    <row r="46" spans="1:10" s="112" customFormat="1" x14ac:dyDescent="0.25">
      <c r="A46" s="25"/>
      <c r="B46" s="25"/>
      <c r="C46" s="111" t="s">
        <v>143</v>
      </c>
      <c r="D46" s="110">
        <f>3.78+2.45+3.58</f>
        <v>9.81</v>
      </c>
      <c r="E46" s="26"/>
      <c r="F46" s="26"/>
      <c r="G46" s="26"/>
      <c r="H46" s="26"/>
      <c r="I46" s="38">
        <f t="shared" si="0"/>
        <v>9.81</v>
      </c>
      <c r="J46" s="29"/>
    </row>
    <row r="47" spans="1:10" s="112" customFormat="1" x14ac:dyDescent="0.25">
      <c r="A47" s="25"/>
      <c r="B47" s="25"/>
      <c r="C47" s="117" t="s">
        <v>144</v>
      </c>
      <c r="D47" s="40"/>
      <c r="E47" s="26"/>
      <c r="F47" s="26"/>
      <c r="G47" s="26"/>
      <c r="H47" s="26"/>
      <c r="I47" s="38">
        <f t="shared" si="0"/>
        <v>0</v>
      </c>
      <c r="J47" s="29"/>
    </row>
    <row r="48" spans="1:10" s="112" customFormat="1" x14ac:dyDescent="0.25">
      <c r="A48" s="25"/>
      <c r="B48" s="25"/>
      <c r="C48" s="111" t="s">
        <v>155</v>
      </c>
      <c r="D48" s="110">
        <f>4+2+3+0.74+1.05+3.8</f>
        <v>14.59</v>
      </c>
      <c r="E48" s="26"/>
      <c r="F48" s="26"/>
      <c r="G48" s="26"/>
      <c r="H48" s="26"/>
      <c r="I48" s="38">
        <f t="shared" si="0"/>
        <v>14.59</v>
      </c>
      <c r="J48" s="29"/>
    </row>
    <row r="49" spans="1:10" s="112" customFormat="1" x14ac:dyDescent="0.25">
      <c r="A49" s="25"/>
      <c r="B49" s="25"/>
      <c r="C49" s="117" t="s">
        <v>144</v>
      </c>
      <c r="D49" s="40"/>
      <c r="E49" s="26"/>
      <c r="F49" s="26"/>
      <c r="G49" s="26"/>
      <c r="H49" s="26"/>
      <c r="I49" s="38">
        <f t="shared" si="0"/>
        <v>0</v>
      </c>
      <c r="J49" s="29"/>
    </row>
    <row r="50" spans="1:10" s="112" customFormat="1" x14ac:dyDescent="0.25">
      <c r="A50" s="25"/>
      <c r="B50" s="25"/>
      <c r="C50" s="111" t="s">
        <v>145</v>
      </c>
      <c r="D50" s="110">
        <f>14.17+2+3+2+7.46</f>
        <v>28.630000000000003</v>
      </c>
      <c r="E50" s="26"/>
      <c r="F50" s="26"/>
      <c r="G50" s="26"/>
      <c r="H50" s="26"/>
      <c r="I50" s="38">
        <f t="shared" si="0"/>
        <v>28.630000000000003</v>
      </c>
      <c r="J50" s="29"/>
    </row>
    <row r="51" spans="1:10" s="112" customFormat="1" x14ac:dyDescent="0.25">
      <c r="A51" s="25"/>
      <c r="B51" s="25"/>
      <c r="C51" s="117" t="s">
        <v>139</v>
      </c>
      <c r="D51" s="40"/>
      <c r="E51" s="26"/>
      <c r="F51" s="26"/>
      <c r="G51" s="26"/>
      <c r="H51" s="26"/>
      <c r="I51" s="38">
        <f t="shared" si="0"/>
        <v>0</v>
      </c>
      <c r="J51" s="29"/>
    </row>
    <row r="52" spans="1:10" s="112" customFormat="1" x14ac:dyDescent="0.25">
      <c r="A52" s="25"/>
      <c r="B52" s="25"/>
      <c r="C52" s="111" t="s">
        <v>150</v>
      </c>
      <c r="D52" s="110">
        <f>5.37+2+3+2+5.82+4.99</f>
        <v>23.18</v>
      </c>
      <c r="E52" s="26"/>
      <c r="F52" s="26"/>
      <c r="G52" s="26"/>
      <c r="H52" s="26"/>
      <c r="I52" s="38">
        <f t="shared" si="0"/>
        <v>23.18</v>
      </c>
      <c r="J52" s="29"/>
    </row>
    <row r="53" spans="1:10" s="112" customFormat="1" x14ac:dyDescent="0.25">
      <c r="A53" s="25"/>
      <c r="B53" s="25"/>
      <c r="C53" s="117" t="s">
        <v>146</v>
      </c>
      <c r="D53" s="40"/>
      <c r="E53" s="26"/>
      <c r="F53" s="26"/>
      <c r="G53" s="26"/>
      <c r="H53" s="26"/>
      <c r="I53" s="38">
        <f t="shared" si="0"/>
        <v>0</v>
      </c>
      <c r="J53" s="29"/>
    </row>
    <row r="54" spans="1:10" s="112" customFormat="1" ht="36" x14ac:dyDescent="0.25">
      <c r="A54" s="25"/>
      <c r="B54" s="25"/>
      <c r="C54" s="111" t="s">
        <v>147</v>
      </c>
      <c r="D54" s="110">
        <f>0.15+5.54+0.15+1.6+1+5+0.15+2.55+0.15+5.7+0.15+2.55+0.15+5+1+1.6</f>
        <v>32.44</v>
      </c>
      <c r="E54" s="26"/>
      <c r="F54" s="26"/>
      <c r="G54" s="26"/>
      <c r="H54" s="26"/>
      <c r="I54" s="38">
        <f t="shared" si="0"/>
        <v>32.44</v>
      </c>
      <c r="J54" s="29"/>
    </row>
    <row r="55" spans="1:10" s="112" customFormat="1" ht="24" x14ac:dyDescent="0.25">
      <c r="A55" s="25"/>
      <c r="B55" s="25"/>
      <c r="C55" s="111" t="s">
        <v>148</v>
      </c>
      <c r="D55" s="110">
        <f>0.15+2.55+0.15+1+5+0.15+2.55+0.15+2.88+0.15+2.55+0.15+5+1</f>
        <v>23.43</v>
      </c>
      <c r="E55" s="26"/>
      <c r="F55" s="26"/>
      <c r="G55" s="26"/>
      <c r="H55" s="26"/>
      <c r="I55" s="38">
        <f t="shared" si="0"/>
        <v>23.43</v>
      </c>
      <c r="J55" s="29"/>
    </row>
    <row r="56" spans="1:10" s="112" customFormat="1" ht="36" x14ac:dyDescent="0.25">
      <c r="A56" s="25"/>
      <c r="B56" s="25"/>
      <c r="C56" s="111" t="s">
        <v>149</v>
      </c>
      <c r="D56" s="110">
        <f>0.15+5.45+0.15+0.93+1+5+0.15+2.55+0.15+5.7+0.15+2.55+0.15+5+1+0.93</f>
        <v>31.009999999999998</v>
      </c>
      <c r="E56" s="26"/>
      <c r="F56" s="26"/>
      <c r="G56" s="26"/>
      <c r="H56" s="26"/>
      <c r="I56" s="38">
        <f t="shared" si="0"/>
        <v>31.009999999999998</v>
      </c>
      <c r="J56" s="29"/>
    </row>
    <row r="57" spans="1:10" s="112" customFormat="1" x14ac:dyDescent="0.25">
      <c r="A57" s="25"/>
      <c r="B57" s="25"/>
      <c r="C57" s="117" t="s">
        <v>139</v>
      </c>
      <c r="D57" s="40"/>
      <c r="E57" s="26"/>
      <c r="F57" s="26"/>
      <c r="G57" s="26"/>
      <c r="H57" s="26"/>
      <c r="I57" s="38">
        <f t="shared" si="0"/>
        <v>0</v>
      </c>
      <c r="J57" s="29"/>
    </row>
    <row r="58" spans="1:10" s="112" customFormat="1" x14ac:dyDescent="0.25">
      <c r="A58" s="25"/>
      <c r="B58" s="25"/>
      <c r="C58" s="111" t="s">
        <v>151</v>
      </c>
      <c r="D58" s="110">
        <f>3.59+1.5+3+1.5+3.59</f>
        <v>13.18</v>
      </c>
      <c r="E58" s="26"/>
      <c r="F58" s="26"/>
      <c r="G58" s="26"/>
      <c r="H58" s="26"/>
      <c r="I58" s="38">
        <f t="shared" si="0"/>
        <v>13.18</v>
      </c>
      <c r="J58" s="29"/>
    </row>
    <row r="59" spans="1:10" s="112" customFormat="1" x14ac:dyDescent="0.25">
      <c r="A59" s="25"/>
      <c r="B59" s="25"/>
      <c r="C59" s="111" t="s">
        <v>152</v>
      </c>
      <c r="D59" s="110">
        <f>3.65+3+3.62</f>
        <v>10.27</v>
      </c>
      <c r="E59" s="26"/>
      <c r="F59" s="26"/>
      <c r="G59" s="26"/>
      <c r="H59" s="26"/>
      <c r="I59" s="38">
        <f t="shared" si="0"/>
        <v>10.27</v>
      </c>
      <c r="J59" s="29"/>
    </row>
    <row r="60" spans="1:10" s="112" customFormat="1" x14ac:dyDescent="0.25">
      <c r="A60" s="25"/>
      <c r="B60" s="25"/>
      <c r="C60" s="117" t="s">
        <v>144</v>
      </c>
      <c r="D60" s="40"/>
      <c r="E60" s="26"/>
      <c r="F60" s="26"/>
      <c r="G60" s="26"/>
      <c r="H60" s="26"/>
      <c r="I60" s="38">
        <f t="shared" si="0"/>
        <v>0</v>
      </c>
      <c r="J60" s="29"/>
    </row>
    <row r="61" spans="1:10" s="112" customFormat="1" x14ac:dyDescent="0.25">
      <c r="A61" s="25"/>
      <c r="B61" s="25"/>
      <c r="C61" s="111" t="s">
        <v>156</v>
      </c>
      <c r="D61" s="110">
        <f>2.8+1.27+3+1.6+3.34</f>
        <v>12.01</v>
      </c>
      <c r="E61" s="26"/>
      <c r="F61" s="26"/>
      <c r="G61" s="26"/>
      <c r="H61" s="26"/>
      <c r="I61" s="38">
        <f t="shared" si="0"/>
        <v>12.01</v>
      </c>
      <c r="J61" s="29"/>
    </row>
    <row r="62" spans="1:10" s="112" customFormat="1" x14ac:dyDescent="0.25">
      <c r="A62" s="25"/>
      <c r="B62" s="25"/>
      <c r="C62" s="117" t="s">
        <v>157</v>
      </c>
      <c r="D62" s="40"/>
      <c r="E62" s="26"/>
      <c r="F62" s="26"/>
      <c r="G62" s="26"/>
      <c r="H62" s="26"/>
      <c r="I62" s="38">
        <f t="shared" si="0"/>
        <v>0</v>
      </c>
      <c r="J62" s="29"/>
    </row>
    <row r="63" spans="1:10" s="112" customFormat="1" x14ac:dyDescent="0.25">
      <c r="A63" s="25"/>
      <c r="B63" s="25"/>
      <c r="C63" s="111" t="s">
        <v>158</v>
      </c>
      <c r="D63" s="110">
        <f>8.15+3.14+4.51+14.25+3.8+3.85</f>
        <v>37.700000000000003</v>
      </c>
      <c r="E63" s="26"/>
      <c r="F63" s="26"/>
      <c r="G63" s="26"/>
      <c r="H63" s="26"/>
      <c r="I63" s="38">
        <f t="shared" si="0"/>
        <v>37.700000000000003</v>
      </c>
      <c r="J63" s="29"/>
    </row>
    <row r="64" spans="1:10" s="112" customFormat="1" x14ac:dyDescent="0.25">
      <c r="A64" s="25"/>
      <c r="B64" s="25"/>
      <c r="C64" s="117" t="s">
        <v>159</v>
      </c>
      <c r="D64" s="40"/>
      <c r="E64" s="26"/>
      <c r="F64" s="26"/>
      <c r="G64" s="26"/>
      <c r="H64" s="26"/>
      <c r="I64" s="38">
        <f t="shared" si="0"/>
        <v>0</v>
      </c>
      <c r="J64" s="29"/>
    </row>
    <row r="65" spans="1:10" s="112" customFormat="1" ht="24" x14ac:dyDescent="0.25">
      <c r="A65" s="25"/>
      <c r="B65" s="25"/>
      <c r="C65" s="111" t="s">
        <v>160</v>
      </c>
      <c r="D65" s="110">
        <f>2.63+31.93+5+1.97+1.43+3+2+2.29+3.59</f>
        <v>53.84</v>
      </c>
      <c r="E65" s="26"/>
      <c r="F65" s="26"/>
      <c r="G65" s="26"/>
      <c r="H65" s="26"/>
      <c r="I65" s="38">
        <f t="shared" si="0"/>
        <v>53.84</v>
      </c>
      <c r="J65" s="29"/>
    </row>
    <row r="66" spans="1:10" s="112" customFormat="1" x14ac:dyDescent="0.25">
      <c r="A66" s="25"/>
      <c r="B66" s="25"/>
      <c r="C66" s="117" t="s">
        <v>162</v>
      </c>
      <c r="D66" s="40"/>
      <c r="E66" s="26"/>
      <c r="F66" s="26"/>
      <c r="G66" s="26"/>
      <c r="H66" s="26"/>
      <c r="I66" s="38">
        <f t="shared" si="0"/>
        <v>0</v>
      </c>
      <c r="J66" s="29"/>
    </row>
    <row r="67" spans="1:10" s="112" customFormat="1" ht="36" x14ac:dyDescent="0.25">
      <c r="A67" s="25"/>
      <c r="B67" s="25"/>
      <c r="C67" s="111" t="s">
        <v>161</v>
      </c>
      <c r="D67" s="110">
        <f>2.04+2+3+4.02+5.76+1.14+7.81+2+3+2+3.41+7.99+5.47+13.83+2.47+28.17+2+1.5+9.18+6.66</f>
        <v>113.44999999999999</v>
      </c>
      <c r="E67" s="26"/>
      <c r="F67" s="26"/>
      <c r="G67" s="26"/>
      <c r="H67" s="26"/>
      <c r="I67" s="38">
        <f t="shared" si="0"/>
        <v>113.44999999999999</v>
      </c>
      <c r="J67" s="29"/>
    </row>
    <row r="68" spans="1:10" s="112" customFormat="1" x14ac:dyDescent="0.25">
      <c r="A68" s="25"/>
      <c r="B68" s="25"/>
      <c r="C68" s="117" t="s">
        <v>166</v>
      </c>
      <c r="D68" s="40"/>
      <c r="E68" s="26"/>
      <c r="F68" s="26"/>
      <c r="G68" s="26"/>
      <c r="H68" s="26"/>
      <c r="I68" s="38">
        <f t="shared" si="0"/>
        <v>0</v>
      </c>
      <c r="J68" s="29"/>
    </row>
    <row r="69" spans="1:10" s="112" customFormat="1" ht="36" x14ac:dyDescent="0.25">
      <c r="A69" s="25"/>
      <c r="B69" s="25"/>
      <c r="C69" s="111" t="s">
        <v>163</v>
      </c>
      <c r="D69" s="110">
        <f>3.83+0.43+2.27+1.02+2.16+2.14+5.3+3.87+1.24+3.92+5.47+5.96+32.56+15.18+2.21</f>
        <v>87.559999999999988</v>
      </c>
      <c r="E69" s="26"/>
      <c r="F69" s="26"/>
      <c r="G69" s="26"/>
      <c r="H69" s="26"/>
      <c r="I69" s="38">
        <f t="shared" si="0"/>
        <v>87.559999999999988</v>
      </c>
      <c r="J69" s="29"/>
    </row>
    <row r="70" spans="1:10" s="112" customFormat="1" ht="24" x14ac:dyDescent="0.25">
      <c r="A70" s="25"/>
      <c r="B70" s="25"/>
      <c r="C70" s="117" t="s">
        <v>165</v>
      </c>
      <c r="D70" s="40"/>
      <c r="E70" s="26"/>
      <c r="F70" s="26"/>
      <c r="G70" s="26"/>
      <c r="H70" s="26"/>
      <c r="I70" s="38">
        <f t="shared" si="0"/>
        <v>0</v>
      </c>
      <c r="J70" s="29"/>
    </row>
    <row r="71" spans="1:10" s="112" customFormat="1" ht="36" x14ac:dyDescent="0.25">
      <c r="A71" s="25"/>
      <c r="B71" s="25"/>
      <c r="C71" s="111" t="s">
        <v>164</v>
      </c>
      <c r="D71" s="110">
        <f>2.21+14.61+6.38+18.61+12.21+5.01+1.5+3+1.5+5.71+1.5+0.29+3+61.82+16.84+3.95+11.35+3+5+3+1.6</f>
        <v>182.08999999999997</v>
      </c>
      <c r="E71" s="26"/>
      <c r="F71" s="26"/>
      <c r="G71" s="26"/>
      <c r="H71" s="26"/>
      <c r="I71" s="38">
        <f t="shared" si="0"/>
        <v>182.08999999999997</v>
      </c>
      <c r="J71" s="29"/>
    </row>
    <row r="72" spans="1:10" s="112" customFormat="1" ht="36" x14ac:dyDescent="0.25">
      <c r="A72" s="25"/>
      <c r="B72" s="25"/>
      <c r="C72" s="117" t="s">
        <v>167</v>
      </c>
      <c r="D72" s="40"/>
      <c r="E72" s="26"/>
      <c r="F72" s="26"/>
      <c r="G72" s="26"/>
      <c r="H72" s="26"/>
      <c r="I72" s="38">
        <f t="shared" si="0"/>
        <v>0</v>
      </c>
      <c r="J72" s="29"/>
    </row>
    <row r="73" spans="1:10" s="112" customFormat="1" ht="36" x14ac:dyDescent="0.25">
      <c r="A73" s="25"/>
      <c r="B73" s="25"/>
      <c r="C73" s="111" t="s">
        <v>168</v>
      </c>
      <c r="D73" s="110">
        <f>2.66+2+5+2+1.25+0.63+9.72+17.7+28.84+80+5.58+1.96+1.37+1.4+54.42+2.71</f>
        <v>217.24000000000004</v>
      </c>
      <c r="E73" s="26"/>
      <c r="F73" s="26"/>
      <c r="G73" s="26"/>
      <c r="H73" s="26"/>
      <c r="I73" s="38">
        <f t="shared" si="0"/>
        <v>217.24000000000004</v>
      </c>
      <c r="J73" s="29"/>
    </row>
    <row r="74" spans="1:10" s="112" customFormat="1" x14ac:dyDescent="0.25">
      <c r="A74" s="25"/>
      <c r="B74" s="25"/>
      <c r="C74" s="117" t="s">
        <v>169</v>
      </c>
      <c r="D74" s="40"/>
      <c r="E74" s="26"/>
      <c r="F74" s="26"/>
      <c r="G74" s="26"/>
      <c r="H74" s="26"/>
      <c r="I74" s="38">
        <f t="shared" si="0"/>
        <v>0</v>
      </c>
      <c r="J74" s="29"/>
    </row>
    <row r="75" spans="1:10" s="112" customFormat="1" x14ac:dyDescent="0.25">
      <c r="A75" s="25"/>
      <c r="B75" s="25"/>
      <c r="C75" s="111" t="s">
        <v>170</v>
      </c>
      <c r="D75" s="110">
        <f>7.89+39.3+7.66+39.52</f>
        <v>94.37</v>
      </c>
      <c r="E75" s="26"/>
      <c r="F75" s="26"/>
      <c r="G75" s="26"/>
      <c r="H75" s="26"/>
      <c r="I75" s="38">
        <f t="shared" si="0"/>
        <v>94.37</v>
      </c>
      <c r="J75" s="29"/>
    </row>
    <row r="76" spans="1:10" s="112" customFormat="1" x14ac:dyDescent="0.25">
      <c r="A76" s="25"/>
      <c r="B76" s="25"/>
      <c r="C76" s="117" t="s">
        <v>171</v>
      </c>
      <c r="D76" s="40"/>
      <c r="E76" s="26"/>
      <c r="F76" s="26"/>
      <c r="G76" s="26"/>
      <c r="H76" s="26"/>
      <c r="I76" s="38">
        <f t="shared" si="0"/>
        <v>0</v>
      </c>
      <c r="J76" s="29"/>
    </row>
    <row r="77" spans="1:10" s="112" customFormat="1" x14ac:dyDescent="0.25">
      <c r="A77" s="25"/>
      <c r="B77" s="25"/>
      <c r="C77" s="111" t="s">
        <v>172</v>
      </c>
      <c r="D77" s="110">
        <f>2.59+0.7+7+0.7+2.71</f>
        <v>13.7</v>
      </c>
      <c r="E77" s="26"/>
      <c r="F77" s="26"/>
      <c r="G77" s="26"/>
      <c r="H77" s="26"/>
      <c r="I77" s="38">
        <f t="shared" si="0"/>
        <v>13.7</v>
      </c>
      <c r="J77" s="29"/>
    </row>
    <row r="78" spans="1:10" s="112" customFormat="1" x14ac:dyDescent="0.25">
      <c r="A78" s="25"/>
      <c r="B78" s="25"/>
      <c r="C78" s="117" t="s">
        <v>173</v>
      </c>
      <c r="D78" s="40"/>
      <c r="E78" s="26"/>
      <c r="F78" s="26"/>
      <c r="G78" s="26"/>
      <c r="H78" s="26"/>
      <c r="I78" s="38">
        <f t="shared" si="0"/>
        <v>0</v>
      </c>
      <c r="J78" s="29"/>
    </row>
    <row r="79" spans="1:10" ht="24" x14ac:dyDescent="0.25">
      <c r="A79" s="25"/>
      <c r="B79" s="25"/>
      <c r="C79" s="27" t="s">
        <v>174</v>
      </c>
      <c r="D79" s="110">
        <f>4.11+3+8.39+2.57+0.73+6.56+1.41+3+7.97</f>
        <v>37.74</v>
      </c>
      <c r="E79" s="41"/>
      <c r="F79" s="41"/>
      <c r="G79" s="41"/>
      <c r="H79" s="41"/>
      <c r="I79" s="38">
        <f t="shared" si="0"/>
        <v>37.74</v>
      </c>
      <c r="J79" s="29"/>
    </row>
    <row r="80" spans="1:10" s="112" customFormat="1" ht="24" x14ac:dyDescent="0.25">
      <c r="A80" s="25"/>
      <c r="B80" s="25"/>
      <c r="C80" s="117" t="s">
        <v>175</v>
      </c>
      <c r="D80" s="40"/>
      <c r="E80" s="26"/>
      <c r="F80" s="26"/>
      <c r="G80" s="26"/>
      <c r="H80" s="26"/>
      <c r="I80" s="38">
        <f t="shared" si="0"/>
        <v>0</v>
      </c>
      <c r="J80" s="29"/>
    </row>
    <row r="81" spans="1:10" ht="24" x14ac:dyDescent="0.25">
      <c r="A81" s="25"/>
      <c r="B81" s="25"/>
      <c r="C81" s="27" t="s">
        <v>176</v>
      </c>
      <c r="D81" s="110">
        <f>3.24+1.52+2.78+2+1.85+3+2.31+2.3+2+1+1.9+2.86</f>
        <v>26.759999999999998</v>
      </c>
      <c r="E81" s="41"/>
      <c r="F81" s="41"/>
      <c r="G81" s="41"/>
      <c r="H81" s="41"/>
      <c r="I81" s="38">
        <f t="shared" si="0"/>
        <v>26.759999999999998</v>
      </c>
      <c r="J81" s="29"/>
    </row>
    <row r="82" spans="1:10" x14ac:dyDescent="0.25">
      <c r="A82" s="25"/>
      <c r="B82" s="25"/>
      <c r="C82" s="27" t="s">
        <v>177</v>
      </c>
      <c r="D82" s="110">
        <f>9.93+12.51+3+2+6.4+4.86</f>
        <v>38.699999999999996</v>
      </c>
      <c r="E82" s="41"/>
      <c r="F82" s="41"/>
      <c r="G82" s="41"/>
      <c r="H82" s="41"/>
      <c r="I82" s="38">
        <f t="shared" si="0"/>
        <v>38.699999999999996</v>
      </c>
      <c r="J82" s="29"/>
    </row>
    <row r="83" spans="1:10" s="112" customFormat="1" x14ac:dyDescent="0.25">
      <c r="A83" s="25"/>
      <c r="B83" s="25"/>
      <c r="C83" s="117" t="s">
        <v>178</v>
      </c>
      <c r="D83" s="40"/>
      <c r="E83" s="26"/>
      <c r="F83" s="26"/>
      <c r="G83" s="26"/>
      <c r="H83" s="26"/>
      <c r="I83" s="38">
        <f t="shared" si="0"/>
        <v>0</v>
      </c>
      <c r="J83" s="29"/>
    </row>
    <row r="84" spans="1:10" ht="24" x14ac:dyDescent="0.25">
      <c r="A84" s="25"/>
      <c r="B84" s="25"/>
      <c r="C84" s="27" t="s">
        <v>179</v>
      </c>
      <c r="D84" s="110">
        <f>3.66+10.46+9.42+43.27+8.62+1.38+2+3+2+16.99+3.78</f>
        <v>104.58</v>
      </c>
      <c r="E84" s="41"/>
      <c r="F84" s="41"/>
      <c r="G84" s="41"/>
      <c r="H84" s="41"/>
      <c r="I84" s="38">
        <f t="shared" si="0"/>
        <v>104.58</v>
      </c>
      <c r="J84" s="29"/>
    </row>
    <row r="85" spans="1:10" x14ac:dyDescent="0.25">
      <c r="A85" s="25"/>
      <c r="B85" s="25"/>
      <c r="C85" s="43" t="s">
        <v>52</v>
      </c>
      <c r="D85" s="40"/>
      <c r="E85" s="41"/>
      <c r="F85" s="41"/>
      <c r="G85" s="41"/>
      <c r="H85" s="41">
        <v>3</v>
      </c>
      <c r="I85" s="42">
        <f>SUM(I26:I84)</f>
        <v>1519.67</v>
      </c>
      <c r="J85" s="29"/>
    </row>
    <row r="86" spans="1:10" x14ac:dyDescent="0.25">
      <c r="A86" s="25"/>
      <c r="B86" s="25"/>
      <c r="C86" s="30" t="s">
        <v>51</v>
      </c>
      <c r="D86" s="31"/>
      <c r="E86" s="32"/>
      <c r="F86" s="32"/>
      <c r="G86" s="32"/>
      <c r="H86" s="32"/>
      <c r="I86" s="31">
        <f>I85/H85</f>
        <v>506.55666666666667</v>
      </c>
      <c r="J86" s="20" t="s">
        <v>22</v>
      </c>
    </row>
    <row r="87" spans="1:10" x14ac:dyDescent="0.25">
      <c r="A87" s="25"/>
      <c r="B87" s="25"/>
      <c r="C87" s="43" t="s">
        <v>52</v>
      </c>
      <c r="D87" s="40"/>
      <c r="E87" s="41"/>
      <c r="F87" s="41"/>
      <c r="G87" s="41"/>
      <c r="H87" s="41"/>
      <c r="I87" s="42"/>
      <c r="J87" s="29"/>
    </row>
    <row r="88" spans="1:10" x14ac:dyDescent="0.25">
      <c r="A88" s="25"/>
      <c r="B88" s="25"/>
      <c r="C88" s="46"/>
      <c r="D88" s="47"/>
      <c r="E88" s="28"/>
      <c r="F88" s="28"/>
      <c r="G88" s="28"/>
      <c r="H88" s="28"/>
      <c r="I88" s="47"/>
      <c r="J88" s="29"/>
    </row>
    <row r="89" spans="1:10" ht="26.25" customHeight="1" x14ac:dyDescent="0.25">
      <c r="A89" s="201">
        <f>PLANILHA!C15</f>
        <v>72225</v>
      </c>
      <c r="B89" s="201" t="str">
        <f>PLANILHA!A15</f>
        <v>1.5</v>
      </c>
      <c r="C89" s="91" t="s">
        <v>71</v>
      </c>
      <c r="D89" s="26"/>
      <c r="E89" s="26"/>
      <c r="F89" s="26"/>
      <c r="G89" s="26"/>
      <c r="H89" s="26"/>
      <c r="I89" s="26"/>
      <c r="J89" s="29"/>
    </row>
    <row r="90" spans="1:10" ht="24" customHeight="1" x14ac:dyDescent="0.25">
      <c r="A90" s="25"/>
      <c r="B90" s="25"/>
      <c r="C90" s="27" t="s">
        <v>85</v>
      </c>
      <c r="D90" s="41"/>
      <c r="E90" s="41"/>
      <c r="F90" s="41"/>
      <c r="G90" s="41"/>
      <c r="H90" s="28"/>
      <c r="I90" s="26"/>
      <c r="J90" s="29"/>
    </row>
    <row r="91" spans="1:10" x14ac:dyDescent="0.25">
      <c r="A91" s="25"/>
      <c r="B91" s="25"/>
      <c r="C91" s="27" t="s">
        <v>180</v>
      </c>
      <c r="D91" s="110"/>
      <c r="E91" s="41"/>
      <c r="F91" s="41"/>
      <c r="G91" s="41">
        <f>PRODUCT(4.66*2.39)</f>
        <v>11.137400000000001</v>
      </c>
      <c r="H91" s="41"/>
      <c r="I91" s="42">
        <f t="shared" ref="I91:I134" si="1">G91</f>
        <v>11.137400000000001</v>
      </c>
      <c r="J91" s="29"/>
    </row>
    <row r="92" spans="1:10" x14ac:dyDescent="0.25">
      <c r="A92" s="25"/>
      <c r="B92" s="25"/>
      <c r="C92" s="27" t="s">
        <v>181</v>
      </c>
      <c r="D92" s="110"/>
      <c r="E92" s="41"/>
      <c r="F92" s="41"/>
      <c r="G92" s="41">
        <f>PRODUCT(3.1*3.21)</f>
        <v>9.9510000000000005</v>
      </c>
      <c r="H92" s="41"/>
      <c r="I92" s="42">
        <f t="shared" si="1"/>
        <v>9.9510000000000005</v>
      </c>
      <c r="J92" s="29"/>
    </row>
    <row r="93" spans="1:10" x14ac:dyDescent="0.25">
      <c r="A93" s="25"/>
      <c r="B93" s="25"/>
      <c r="C93" s="27" t="s">
        <v>182</v>
      </c>
      <c r="D93" s="110"/>
      <c r="E93" s="41"/>
      <c r="F93" s="41"/>
      <c r="G93" s="41">
        <f>PRODUCT(3.52*3.19)</f>
        <v>11.2288</v>
      </c>
      <c r="H93" s="41"/>
      <c r="I93" s="42">
        <f t="shared" si="1"/>
        <v>11.2288</v>
      </c>
      <c r="J93" s="29"/>
    </row>
    <row r="94" spans="1:10" x14ac:dyDescent="0.25">
      <c r="A94" s="25"/>
      <c r="B94" s="25"/>
      <c r="C94" s="27" t="s">
        <v>183</v>
      </c>
      <c r="D94" s="110"/>
      <c r="E94" s="41"/>
      <c r="F94" s="41"/>
      <c r="G94" s="41">
        <f>PRODUCT(3.13*3.05)</f>
        <v>9.5465</v>
      </c>
      <c r="H94" s="41"/>
      <c r="I94" s="42">
        <f t="shared" si="1"/>
        <v>9.5465</v>
      </c>
      <c r="J94" s="29"/>
    </row>
    <row r="95" spans="1:10" x14ac:dyDescent="0.25">
      <c r="A95" s="25"/>
      <c r="B95" s="25"/>
      <c r="C95" s="27" t="s">
        <v>184</v>
      </c>
      <c r="D95" s="110"/>
      <c r="E95" s="41"/>
      <c r="F95" s="41"/>
      <c r="G95" s="41">
        <f>PRODUCT(4*2.28)</f>
        <v>9.1199999999999992</v>
      </c>
      <c r="H95" s="41"/>
      <c r="I95" s="42">
        <f t="shared" si="1"/>
        <v>9.1199999999999992</v>
      </c>
      <c r="J95" s="29"/>
    </row>
    <row r="96" spans="1:10" x14ac:dyDescent="0.25">
      <c r="A96" s="25"/>
      <c r="B96" s="25"/>
      <c r="C96" s="27" t="s">
        <v>185</v>
      </c>
      <c r="D96" s="110"/>
      <c r="E96" s="41"/>
      <c r="F96" s="41"/>
      <c r="G96" s="41">
        <f>PRODUCT(2.01*2.23)</f>
        <v>4.4822999999999995</v>
      </c>
      <c r="H96" s="41"/>
      <c r="I96" s="42">
        <f t="shared" si="1"/>
        <v>4.4822999999999995</v>
      </c>
      <c r="J96" s="29"/>
    </row>
    <row r="97" spans="1:10" x14ac:dyDescent="0.25">
      <c r="A97" s="25"/>
      <c r="B97" s="25"/>
      <c r="C97" s="27" t="s">
        <v>186</v>
      </c>
      <c r="D97" s="110"/>
      <c r="E97" s="41"/>
      <c r="F97" s="41"/>
      <c r="G97" s="41">
        <f>PRODUCT(2.89*1.08)</f>
        <v>3.1212000000000004</v>
      </c>
      <c r="H97" s="41"/>
      <c r="I97" s="42">
        <f t="shared" si="1"/>
        <v>3.1212000000000004</v>
      </c>
      <c r="J97" s="29"/>
    </row>
    <row r="98" spans="1:10" x14ac:dyDescent="0.25">
      <c r="A98" s="25"/>
      <c r="B98" s="25"/>
      <c r="C98" s="27" t="s">
        <v>187</v>
      </c>
      <c r="D98" s="110"/>
      <c r="E98" s="41"/>
      <c r="F98" s="41"/>
      <c r="G98" s="41">
        <f>PRODUCT(1.55*0.7)</f>
        <v>1.085</v>
      </c>
      <c r="H98" s="41"/>
      <c r="I98" s="42">
        <f t="shared" si="1"/>
        <v>1.085</v>
      </c>
      <c r="J98" s="29"/>
    </row>
    <row r="99" spans="1:10" x14ac:dyDescent="0.25">
      <c r="A99" s="25"/>
      <c r="B99" s="25"/>
      <c r="C99" s="27" t="s">
        <v>188</v>
      </c>
      <c r="D99" s="110"/>
      <c r="E99" s="41"/>
      <c r="F99" s="41"/>
      <c r="G99" s="41">
        <f>PRODUCT(1.12*0.6)</f>
        <v>0.67200000000000004</v>
      </c>
      <c r="H99" s="41"/>
      <c r="I99" s="42">
        <f t="shared" si="1"/>
        <v>0.67200000000000004</v>
      </c>
      <c r="J99" s="29"/>
    </row>
    <row r="100" spans="1:10" x14ac:dyDescent="0.25">
      <c r="A100" s="25"/>
      <c r="B100" s="25"/>
      <c r="C100" s="27" t="s">
        <v>189</v>
      </c>
      <c r="D100" s="110"/>
      <c r="E100" s="41"/>
      <c r="F100" s="41"/>
      <c r="G100" s="41">
        <f>PRODUCT(1.53*0.53)</f>
        <v>0.81090000000000007</v>
      </c>
      <c r="H100" s="41"/>
      <c r="I100" s="42">
        <f t="shared" si="1"/>
        <v>0.81090000000000007</v>
      </c>
      <c r="J100" s="29"/>
    </row>
    <row r="101" spans="1:10" x14ac:dyDescent="0.25">
      <c r="A101" s="25"/>
      <c r="B101" s="25"/>
      <c r="C101" s="27" t="s">
        <v>190</v>
      </c>
      <c r="D101" s="110"/>
      <c r="E101" s="41"/>
      <c r="F101" s="41"/>
      <c r="G101" s="41">
        <f>PRODUCT(1.07*0.75)</f>
        <v>0.80249999999999999</v>
      </c>
      <c r="H101" s="41"/>
      <c r="I101" s="42">
        <f t="shared" si="1"/>
        <v>0.80249999999999999</v>
      </c>
      <c r="J101" s="29"/>
    </row>
    <row r="102" spans="1:10" x14ac:dyDescent="0.25">
      <c r="A102" s="25"/>
      <c r="B102" s="25"/>
      <c r="C102" s="27" t="s">
        <v>191</v>
      </c>
      <c r="D102" s="110"/>
      <c r="E102" s="41"/>
      <c r="F102" s="41"/>
      <c r="G102" s="41">
        <f>PRODUCT(1.22*0.52)</f>
        <v>0.63439999999999996</v>
      </c>
      <c r="H102" s="41"/>
      <c r="I102" s="42">
        <f t="shared" si="1"/>
        <v>0.63439999999999996</v>
      </c>
      <c r="J102" s="29"/>
    </row>
    <row r="103" spans="1:10" x14ac:dyDescent="0.25">
      <c r="A103" s="25"/>
      <c r="B103" s="25"/>
      <c r="C103" s="27" t="s">
        <v>192</v>
      </c>
      <c r="D103" s="110"/>
      <c r="E103" s="41"/>
      <c r="F103" s="41"/>
      <c r="G103" s="41">
        <f>PRODUCT(0.98*0.44)</f>
        <v>0.43119999999999997</v>
      </c>
      <c r="H103" s="41"/>
      <c r="I103" s="42">
        <f t="shared" si="1"/>
        <v>0.43119999999999997</v>
      </c>
      <c r="J103" s="29"/>
    </row>
    <row r="104" spans="1:10" x14ac:dyDescent="0.25">
      <c r="A104" s="25"/>
      <c r="B104" s="25"/>
      <c r="C104" s="27" t="s">
        <v>193</v>
      </c>
      <c r="D104" s="110"/>
      <c r="E104" s="41"/>
      <c r="F104" s="41"/>
      <c r="G104" s="41">
        <f>PRODUCT(0.44*0.76)</f>
        <v>0.33440000000000003</v>
      </c>
      <c r="H104" s="41"/>
      <c r="I104" s="42">
        <f t="shared" si="1"/>
        <v>0.33440000000000003</v>
      </c>
      <c r="J104" s="29"/>
    </row>
    <row r="105" spans="1:10" x14ac:dyDescent="0.25">
      <c r="A105" s="25"/>
      <c r="B105" s="25"/>
      <c r="C105" s="27" t="s">
        <v>194</v>
      </c>
      <c r="D105" s="110"/>
      <c r="E105" s="41"/>
      <c r="F105" s="41"/>
      <c r="G105" s="41">
        <f>PRODUCT(1.92*1.54)</f>
        <v>2.9567999999999999</v>
      </c>
      <c r="H105" s="41"/>
      <c r="I105" s="42">
        <f t="shared" si="1"/>
        <v>2.9567999999999999</v>
      </c>
      <c r="J105" s="29"/>
    </row>
    <row r="106" spans="1:10" x14ac:dyDescent="0.25">
      <c r="A106" s="25"/>
      <c r="B106" s="25"/>
      <c r="C106" s="27" t="s">
        <v>195</v>
      </c>
      <c r="D106" s="110"/>
      <c r="E106" s="41"/>
      <c r="F106" s="41"/>
      <c r="G106" s="41">
        <f>PRODUCT(1.53*0.52)</f>
        <v>0.79560000000000008</v>
      </c>
      <c r="H106" s="41"/>
      <c r="I106" s="42">
        <f t="shared" si="1"/>
        <v>0.79560000000000008</v>
      </c>
      <c r="J106" s="29"/>
    </row>
    <row r="107" spans="1:10" x14ac:dyDescent="0.25">
      <c r="A107" s="25"/>
      <c r="B107" s="25"/>
      <c r="C107" s="27" t="s">
        <v>196</v>
      </c>
      <c r="D107" s="110"/>
      <c r="E107" s="41"/>
      <c r="F107" s="41"/>
      <c r="G107" s="41">
        <f>PRODUCT(0.9*0.56)</f>
        <v>0.50400000000000011</v>
      </c>
      <c r="H107" s="41"/>
      <c r="I107" s="42">
        <f t="shared" si="1"/>
        <v>0.50400000000000011</v>
      </c>
      <c r="J107" s="29"/>
    </row>
    <row r="108" spans="1:10" x14ac:dyDescent="0.25">
      <c r="A108" s="25"/>
      <c r="B108" s="25"/>
      <c r="C108" s="27" t="s">
        <v>197</v>
      </c>
      <c r="D108" s="110"/>
      <c r="E108" s="41"/>
      <c r="F108" s="41"/>
      <c r="G108" s="41">
        <f>PRODUCT(1.19*0.64)</f>
        <v>0.76159999999999994</v>
      </c>
      <c r="H108" s="41"/>
      <c r="I108" s="42">
        <f t="shared" si="1"/>
        <v>0.76159999999999994</v>
      </c>
      <c r="J108" s="29"/>
    </row>
    <row r="109" spans="1:10" x14ac:dyDescent="0.25">
      <c r="A109" s="25"/>
      <c r="B109" s="25"/>
      <c r="C109" s="27" t="s">
        <v>198</v>
      </c>
      <c r="D109" s="110"/>
      <c r="E109" s="41"/>
      <c r="F109" s="41"/>
      <c r="G109" s="41">
        <f>PRODUCT(1.19*0.58)</f>
        <v>0.69019999999999992</v>
      </c>
      <c r="H109" s="41"/>
      <c r="I109" s="42">
        <f t="shared" si="1"/>
        <v>0.69019999999999992</v>
      </c>
      <c r="J109" s="29"/>
    </row>
    <row r="110" spans="1:10" x14ac:dyDescent="0.25">
      <c r="A110" s="25"/>
      <c r="B110" s="25"/>
      <c r="C110" s="27" t="s">
        <v>199</v>
      </c>
      <c r="D110" s="110"/>
      <c r="E110" s="41"/>
      <c r="F110" s="41"/>
      <c r="G110" s="41">
        <f>PRODUCT(0.72*0.44)</f>
        <v>0.31679999999999997</v>
      </c>
      <c r="H110" s="41"/>
      <c r="I110" s="42">
        <f t="shared" si="1"/>
        <v>0.31679999999999997</v>
      </c>
      <c r="J110" s="29"/>
    </row>
    <row r="111" spans="1:10" x14ac:dyDescent="0.25">
      <c r="A111" s="25"/>
      <c r="B111" s="25"/>
      <c r="C111" s="27" t="s">
        <v>200</v>
      </c>
      <c r="D111" s="110"/>
      <c r="E111" s="41"/>
      <c r="F111" s="41"/>
      <c r="G111" s="41">
        <f>PRODUCT(1.07*0.64)</f>
        <v>0.68480000000000008</v>
      </c>
      <c r="H111" s="41"/>
      <c r="I111" s="42">
        <f t="shared" si="1"/>
        <v>0.68480000000000008</v>
      </c>
      <c r="J111" s="29"/>
    </row>
    <row r="112" spans="1:10" x14ac:dyDescent="0.25">
      <c r="A112" s="25"/>
      <c r="B112" s="25"/>
      <c r="C112" s="27" t="s">
        <v>201</v>
      </c>
      <c r="D112" s="110"/>
      <c r="E112" s="41"/>
      <c r="F112" s="41"/>
      <c r="G112" s="41">
        <f>PRODUCT(0.49*0.41)</f>
        <v>0.2009</v>
      </c>
      <c r="H112" s="41"/>
      <c r="I112" s="42">
        <f t="shared" si="1"/>
        <v>0.2009</v>
      </c>
      <c r="J112" s="29"/>
    </row>
    <row r="113" spans="1:10" x14ac:dyDescent="0.25">
      <c r="A113" s="25"/>
      <c r="B113" s="25"/>
      <c r="C113" s="27" t="s">
        <v>202</v>
      </c>
      <c r="D113" s="110"/>
      <c r="E113" s="41"/>
      <c r="F113" s="41"/>
      <c r="G113" s="41">
        <f>PRODUCT(2.15*0.55)</f>
        <v>1.1825000000000001</v>
      </c>
      <c r="H113" s="41"/>
      <c r="I113" s="42">
        <f t="shared" si="1"/>
        <v>1.1825000000000001</v>
      </c>
      <c r="J113" s="29"/>
    </row>
    <row r="114" spans="1:10" x14ac:dyDescent="0.25">
      <c r="A114" s="25"/>
      <c r="B114" s="25"/>
      <c r="C114" s="27" t="s">
        <v>203</v>
      </c>
      <c r="D114" s="110"/>
      <c r="E114" s="41"/>
      <c r="F114" s="41"/>
      <c r="G114" s="41">
        <f>PRODUCT(1.34*0.54)</f>
        <v>0.72360000000000013</v>
      </c>
      <c r="H114" s="41"/>
      <c r="I114" s="42">
        <f t="shared" si="1"/>
        <v>0.72360000000000013</v>
      </c>
      <c r="J114" s="29"/>
    </row>
    <row r="115" spans="1:10" x14ac:dyDescent="0.25">
      <c r="A115" s="25"/>
      <c r="B115" s="25"/>
      <c r="C115" s="27" t="s">
        <v>204</v>
      </c>
      <c r="D115" s="110"/>
      <c r="E115" s="41"/>
      <c r="F115" s="41"/>
      <c r="G115" s="41">
        <f>PRODUCT(0.9*0.77)</f>
        <v>0.69300000000000006</v>
      </c>
      <c r="H115" s="41"/>
      <c r="I115" s="42">
        <f t="shared" si="1"/>
        <v>0.69300000000000006</v>
      </c>
      <c r="J115" s="29"/>
    </row>
    <row r="116" spans="1:10" x14ac:dyDescent="0.25">
      <c r="A116" s="25"/>
      <c r="B116" s="25"/>
      <c r="C116" s="27" t="s">
        <v>205</v>
      </c>
      <c r="D116" s="110"/>
      <c r="E116" s="41"/>
      <c r="F116" s="41"/>
      <c r="G116" s="41">
        <f>PRODUCT(1.1*0.51)</f>
        <v>0.56100000000000005</v>
      </c>
      <c r="H116" s="41"/>
      <c r="I116" s="42">
        <f t="shared" si="1"/>
        <v>0.56100000000000005</v>
      </c>
      <c r="J116" s="29"/>
    </row>
    <row r="117" spans="1:10" x14ac:dyDescent="0.25">
      <c r="A117" s="25"/>
      <c r="B117" s="25"/>
      <c r="C117" s="27" t="s">
        <v>206</v>
      </c>
      <c r="D117" s="110"/>
      <c r="E117" s="41"/>
      <c r="F117" s="41"/>
      <c r="G117" s="41">
        <f>PRODUCT(0.77*1.17)</f>
        <v>0.90089999999999992</v>
      </c>
      <c r="H117" s="41"/>
      <c r="I117" s="42">
        <f t="shared" si="1"/>
        <v>0.90089999999999992</v>
      </c>
      <c r="J117" s="29"/>
    </row>
    <row r="118" spans="1:10" x14ac:dyDescent="0.25">
      <c r="A118" s="25"/>
      <c r="B118" s="25"/>
      <c r="C118" s="27" t="s">
        <v>207</v>
      </c>
      <c r="D118" s="110"/>
      <c r="E118" s="41"/>
      <c r="F118" s="41"/>
      <c r="G118" s="41">
        <f>PRODUCT(1.56*0.79)</f>
        <v>1.2324000000000002</v>
      </c>
      <c r="H118" s="41"/>
      <c r="I118" s="42">
        <f t="shared" si="1"/>
        <v>1.2324000000000002</v>
      </c>
      <c r="J118" s="29"/>
    </row>
    <row r="119" spans="1:10" x14ac:dyDescent="0.25">
      <c r="A119" s="25"/>
      <c r="B119" s="25"/>
      <c r="C119" s="27" t="s">
        <v>208</v>
      </c>
      <c r="D119" s="110"/>
      <c r="E119" s="41"/>
      <c r="F119" s="41"/>
      <c r="G119" s="41">
        <f>PRODUCT(1.56*0.88)</f>
        <v>1.3728</v>
      </c>
      <c r="H119" s="41"/>
      <c r="I119" s="42">
        <f t="shared" si="1"/>
        <v>1.3728</v>
      </c>
      <c r="J119" s="29"/>
    </row>
    <row r="120" spans="1:10" x14ac:dyDescent="0.25">
      <c r="A120" s="25"/>
      <c r="B120" s="25"/>
      <c r="C120" s="27" t="s">
        <v>209</v>
      </c>
      <c r="D120" s="110"/>
      <c r="E120" s="41"/>
      <c r="F120" s="41"/>
      <c r="G120" s="41">
        <f>PRODUCT(1.27*0.81)</f>
        <v>1.0287000000000002</v>
      </c>
      <c r="H120" s="41"/>
      <c r="I120" s="42">
        <f t="shared" si="1"/>
        <v>1.0287000000000002</v>
      </c>
      <c r="J120" s="29"/>
    </row>
    <row r="121" spans="1:10" x14ac:dyDescent="0.25">
      <c r="A121" s="25"/>
      <c r="B121" s="25"/>
      <c r="C121" s="27" t="s">
        <v>210</v>
      </c>
      <c r="D121" s="110"/>
      <c r="E121" s="41"/>
      <c r="F121" s="41"/>
      <c r="G121" s="41">
        <f>PRODUCT(1.04*0.62)</f>
        <v>0.64480000000000004</v>
      </c>
      <c r="H121" s="41"/>
      <c r="I121" s="42">
        <f t="shared" si="1"/>
        <v>0.64480000000000004</v>
      </c>
      <c r="J121" s="29"/>
    </row>
    <row r="122" spans="1:10" x14ac:dyDescent="0.25">
      <c r="A122" s="25"/>
      <c r="B122" s="25"/>
      <c r="C122" s="27" t="s">
        <v>211</v>
      </c>
      <c r="D122" s="110"/>
      <c r="E122" s="41"/>
      <c r="F122" s="41"/>
      <c r="G122" s="41">
        <f>PRODUCT(1.08*0.79)</f>
        <v>0.85320000000000007</v>
      </c>
      <c r="H122" s="41"/>
      <c r="I122" s="42">
        <f t="shared" si="1"/>
        <v>0.85320000000000007</v>
      </c>
      <c r="J122" s="29"/>
    </row>
    <row r="123" spans="1:10" x14ac:dyDescent="0.25">
      <c r="A123" s="25"/>
      <c r="B123" s="25"/>
      <c r="C123" s="27" t="s">
        <v>212</v>
      </c>
      <c r="D123" s="110"/>
      <c r="E123" s="41"/>
      <c r="F123" s="41"/>
      <c r="G123" s="41">
        <f>PRODUCT(0.67*0.57)</f>
        <v>0.38190000000000002</v>
      </c>
      <c r="H123" s="41"/>
      <c r="I123" s="42">
        <f t="shared" si="1"/>
        <v>0.38190000000000002</v>
      </c>
      <c r="J123" s="29"/>
    </row>
    <row r="124" spans="1:10" x14ac:dyDescent="0.25">
      <c r="A124" s="25"/>
      <c r="B124" s="25"/>
      <c r="C124" s="27" t="s">
        <v>213</v>
      </c>
      <c r="D124" s="110"/>
      <c r="E124" s="41"/>
      <c r="F124" s="41"/>
      <c r="G124" s="41">
        <f>PRODUCT(1.46*0.84)</f>
        <v>1.2263999999999999</v>
      </c>
      <c r="H124" s="41"/>
      <c r="I124" s="42">
        <f t="shared" si="1"/>
        <v>1.2263999999999999</v>
      </c>
      <c r="J124" s="29"/>
    </row>
    <row r="125" spans="1:10" x14ac:dyDescent="0.25">
      <c r="A125" s="25"/>
      <c r="B125" s="25"/>
      <c r="C125" s="27" t="s">
        <v>214</v>
      </c>
      <c r="D125" s="110"/>
      <c r="E125" s="41"/>
      <c r="F125" s="41"/>
      <c r="G125" s="41">
        <f>PRODUCT(1.01*0.55)</f>
        <v>0.5555000000000001</v>
      </c>
      <c r="H125" s="41"/>
      <c r="I125" s="42">
        <f t="shared" si="1"/>
        <v>0.5555000000000001</v>
      </c>
      <c r="J125" s="29"/>
    </row>
    <row r="126" spans="1:10" x14ac:dyDescent="0.25">
      <c r="A126" s="25"/>
      <c r="B126" s="25"/>
      <c r="C126" s="27" t="s">
        <v>215</v>
      </c>
      <c r="D126" s="110"/>
      <c r="E126" s="41"/>
      <c r="F126" s="41"/>
      <c r="G126" s="41">
        <f>PRODUCT(2.17*0.55)</f>
        <v>1.1935</v>
      </c>
      <c r="H126" s="41"/>
      <c r="I126" s="42">
        <f t="shared" si="1"/>
        <v>1.1935</v>
      </c>
      <c r="J126" s="29"/>
    </row>
    <row r="127" spans="1:10" x14ac:dyDescent="0.25">
      <c r="A127" s="25"/>
      <c r="B127" s="25"/>
      <c r="C127" s="27" t="s">
        <v>224</v>
      </c>
      <c r="D127" s="110"/>
      <c r="E127" s="41"/>
      <c r="F127" s="41"/>
      <c r="G127" s="41">
        <f>PRODUCT(1.08*0.79)</f>
        <v>0.85320000000000007</v>
      </c>
      <c r="H127" s="41"/>
      <c r="I127" s="42">
        <f t="shared" si="1"/>
        <v>0.85320000000000007</v>
      </c>
      <c r="J127" s="29"/>
    </row>
    <row r="128" spans="1:10" x14ac:dyDescent="0.25">
      <c r="A128" s="25"/>
      <c r="B128" s="25"/>
      <c r="C128" s="27" t="s">
        <v>216</v>
      </c>
      <c r="D128" s="110"/>
      <c r="E128" s="41"/>
      <c r="F128" s="41"/>
      <c r="G128" s="41">
        <f>PRODUCT(0.96*0.51)</f>
        <v>0.48959999999999998</v>
      </c>
      <c r="H128" s="41"/>
      <c r="I128" s="42">
        <f t="shared" si="1"/>
        <v>0.48959999999999998</v>
      </c>
      <c r="J128" s="29"/>
    </row>
    <row r="129" spans="1:10" x14ac:dyDescent="0.25">
      <c r="A129" s="25"/>
      <c r="B129" s="25"/>
      <c r="C129" s="27" t="s">
        <v>217</v>
      </c>
      <c r="D129" s="110"/>
      <c r="E129" s="41"/>
      <c r="F129" s="41"/>
      <c r="G129" s="41">
        <f>PRODUCT(2.32*2.06)</f>
        <v>4.7791999999999994</v>
      </c>
      <c r="H129" s="41"/>
      <c r="I129" s="42">
        <f t="shared" si="1"/>
        <v>4.7791999999999994</v>
      </c>
      <c r="J129" s="29"/>
    </row>
    <row r="130" spans="1:10" x14ac:dyDescent="0.25">
      <c r="A130" s="25"/>
      <c r="B130" s="25"/>
      <c r="C130" s="27" t="s">
        <v>218</v>
      </c>
      <c r="D130" s="110"/>
      <c r="E130" s="41"/>
      <c r="F130" s="41"/>
      <c r="G130" s="41">
        <f>PRODUCT(1.01*0.55)</f>
        <v>0.5555000000000001</v>
      </c>
      <c r="H130" s="41"/>
      <c r="I130" s="42">
        <f t="shared" si="1"/>
        <v>0.5555000000000001</v>
      </c>
      <c r="J130" s="29"/>
    </row>
    <row r="131" spans="1:10" x14ac:dyDescent="0.25">
      <c r="A131" s="25"/>
      <c r="B131" s="25"/>
      <c r="C131" s="27" t="s">
        <v>219</v>
      </c>
      <c r="D131" s="110"/>
      <c r="E131" s="41"/>
      <c r="F131" s="41"/>
      <c r="G131" s="41">
        <f>PRODUCT(1.32*0.57)</f>
        <v>0.75239999999999996</v>
      </c>
      <c r="H131" s="41"/>
      <c r="I131" s="42">
        <f t="shared" si="1"/>
        <v>0.75239999999999996</v>
      </c>
      <c r="J131" s="29"/>
    </row>
    <row r="132" spans="1:10" x14ac:dyDescent="0.25">
      <c r="A132" s="25"/>
      <c r="B132" s="25"/>
      <c r="C132" s="27" t="s">
        <v>220</v>
      </c>
      <c r="D132" s="110"/>
      <c r="E132" s="41"/>
      <c r="F132" s="41"/>
      <c r="G132" s="41">
        <f>PRODUCT(2.45*2.38)</f>
        <v>5.8310000000000004</v>
      </c>
      <c r="H132" s="41"/>
      <c r="I132" s="42">
        <f t="shared" si="1"/>
        <v>5.8310000000000004</v>
      </c>
      <c r="J132" s="29"/>
    </row>
    <row r="133" spans="1:10" x14ac:dyDescent="0.25">
      <c r="A133" s="25"/>
      <c r="B133" s="25"/>
      <c r="C133" s="27" t="s">
        <v>221</v>
      </c>
      <c r="D133" s="110"/>
      <c r="E133" s="41"/>
      <c r="F133" s="41"/>
      <c r="G133" s="41">
        <f>PRODUCT(1.51*0.92)</f>
        <v>1.3892</v>
      </c>
      <c r="H133" s="41"/>
      <c r="I133" s="42">
        <f t="shared" si="1"/>
        <v>1.3892</v>
      </c>
      <c r="J133" s="29"/>
    </row>
    <row r="134" spans="1:10" x14ac:dyDescent="0.25">
      <c r="A134" s="25"/>
      <c r="B134" s="25"/>
      <c r="C134" s="27" t="s">
        <v>222</v>
      </c>
      <c r="D134" s="110"/>
      <c r="E134" s="41"/>
      <c r="F134" s="41"/>
      <c r="G134" s="41">
        <v>3.4</v>
      </c>
      <c r="H134" s="41"/>
      <c r="I134" s="42">
        <f t="shared" si="1"/>
        <v>3.4</v>
      </c>
      <c r="J134" s="29"/>
    </row>
    <row r="135" spans="1:10" x14ac:dyDescent="0.25">
      <c r="A135" s="25"/>
      <c r="B135" s="25"/>
      <c r="C135" s="46"/>
      <c r="D135" s="47"/>
      <c r="E135" s="28"/>
      <c r="F135" s="28"/>
      <c r="G135" s="28"/>
      <c r="H135" s="28"/>
      <c r="I135" s="47"/>
      <c r="J135" s="29"/>
    </row>
    <row r="136" spans="1:10" x14ac:dyDescent="0.25">
      <c r="A136" s="25"/>
      <c r="B136" s="25"/>
      <c r="C136" s="30" t="s">
        <v>51</v>
      </c>
      <c r="D136" s="31"/>
      <c r="E136" s="32"/>
      <c r="F136" s="32"/>
      <c r="G136" s="32"/>
      <c r="H136" s="32"/>
      <c r="I136" s="31">
        <f>SUM(I91:I135)</f>
        <v>100.8686</v>
      </c>
      <c r="J136" s="20" t="s">
        <v>15</v>
      </c>
    </row>
    <row r="137" spans="1:10" x14ac:dyDescent="0.25">
      <c r="A137" s="25"/>
      <c r="B137" s="25"/>
      <c r="C137" s="46"/>
      <c r="D137" s="47"/>
      <c r="E137" s="28"/>
      <c r="F137" s="28"/>
      <c r="G137" s="28"/>
      <c r="H137" s="28"/>
      <c r="I137" s="47"/>
      <c r="J137" s="29"/>
    </row>
    <row r="138" spans="1:10" ht="45.75" customHeight="1" x14ac:dyDescent="0.25">
      <c r="A138" s="201">
        <f>PLANILHA!C16</f>
        <v>72218</v>
      </c>
      <c r="B138" s="201" t="str">
        <f>PLANILHA!A16</f>
        <v>1.6</v>
      </c>
      <c r="C138" s="89" t="str">
        <f>PLANILHA!D16</f>
        <v>Demolição de divisorias em chapas ou tabuas, inclusive demolição de entarugamento.  (barracas)</v>
      </c>
      <c r="D138" s="26"/>
      <c r="E138" s="26"/>
      <c r="F138" s="26"/>
      <c r="G138" s="26"/>
      <c r="H138" s="26"/>
      <c r="I138" s="26"/>
      <c r="J138" s="29"/>
    </row>
    <row r="139" spans="1:10" ht="15.75" customHeight="1" x14ac:dyDescent="0.25">
      <c r="A139" s="25"/>
      <c r="B139" s="25"/>
      <c r="C139" s="64" t="s">
        <v>225</v>
      </c>
      <c r="D139" s="26"/>
      <c r="E139" s="26"/>
      <c r="F139" s="26"/>
      <c r="G139" s="26"/>
      <c r="H139" s="26"/>
      <c r="I139" s="26"/>
      <c r="J139" s="29"/>
    </row>
    <row r="140" spans="1:10" x14ac:dyDescent="0.25">
      <c r="A140" s="25"/>
      <c r="B140" s="25"/>
      <c r="C140" s="27" t="s">
        <v>226</v>
      </c>
      <c r="D140" s="110"/>
      <c r="E140" s="41"/>
      <c r="F140" s="26">
        <v>2.2000000000000002</v>
      </c>
      <c r="G140" s="41">
        <v>240.71</v>
      </c>
      <c r="H140" s="41"/>
      <c r="I140" s="42">
        <f>G140*F140</f>
        <v>529.56200000000001</v>
      </c>
      <c r="J140" s="29"/>
    </row>
    <row r="141" spans="1:10" x14ac:dyDescent="0.25">
      <c r="A141" s="25"/>
      <c r="B141" s="25"/>
      <c r="C141" s="43"/>
      <c r="D141" s="26"/>
      <c r="E141" s="41"/>
      <c r="F141" s="41"/>
      <c r="G141" s="41"/>
      <c r="H141" s="41"/>
      <c r="I141" s="42"/>
      <c r="J141" s="29"/>
    </row>
    <row r="142" spans="1:10" x14ac:dyDescent="0.25">
      <c r="A142" s="25"/>
      <c r="B142" s="25"/>
      <c r="C142" s="30" t="s">
        <v>51</v>
      </c>
      <c r="D142" s="31"/>
      <c r="E142" s="32"/>
      <c r="F142" s="32"/>
      <c r="G142" s="32"/>
      <c r="H142" s="32"/>
      <c r="I142" s="31">
        <f>SUM(I140:I141)</f>
        <v>529.56200000000001</v>
      </c>
      <c r="J142" s="20" t="s">
        <v>15</v>
      </c>
    </row>
    <row r="143" spans="1:10" x14ac:dyDescent="0.25">
      <c r="A143" s="25"/>
      <c r="B143" s="25"/>
      <c r="C143" s="43"/>
      <c r="D143" s="26"/>
      <c r="E143" s="41"/>
      <c r="F143" s="41"/>
      <c r="G143" s="41"/>
      <c r="H143" s="41"/>
      <c r="I143" s="42"/>
      <c r="J143" s="29"/>
    </row>
    <row r="144" spans="1:10" ht="27" customHeight="1" x14ac:dyDescent="0.25">
      <c r="A144" s="202" t="str">
        <f>PLANILHA!C17</f>
        <v>03.01.110</v>
      </c>
      <c r="B144" s="202" t="str">
        <f>PLANILHA!A17</f>
        <v>1.7</v>
      </c>
      <c r="C144" s="107" t="str">
        <f>PLANILHA!D17</f>
        <v xml:space="preserve">Demolição de pedra portuguesa </v>
      </c>
      <c r="D144" s="26"/>
      <c r="E144" s="26"/>
      <c r="F144" s="26"/>
      <c r="G144" s="26"/>
      <c r="H144" s="26"/>
      <c r="I144" s="26"/>
      <c r="J144" s="29"/>
    </row>
    <row r="145" spans="1:10" s="112" customFormat="1" x14ac:dyDescent="0.25">
      <c r="A145" s="25"/>
      <c r="B145" s="25"/>
      <c r="C145" s="117" t="s">
        <v>157</v>
      </c>
      <c r="D145" s="26"/>
      <c r="E145" s="26"/>
      <c r="F145" s="26"/>
      <c r="G145" s="26"/>
      <c r="H145" s="28"/>
      <c r="I145" s="26"/>
      <c r="J145" s="29"/>
    </row>
    <row r="146" spans="1:10" x14ac:dyDescent="0.25">
      <c r="A146" s="25"/>
      <c r="B146" s="25"/>
      <c r="C146" s="27" t="s">
        <v>233</v>
      </c>
      <c r="D146" s="110"/>
      <c r="E146" s="41"/>
      <c r="F146" s="26"/>
      <c r="G146" s="41">
        <v>85.57</v>
      </c>
      <c r="H146" s="41"/>
      <c r="I146" s="42">
        <f>G146</f>
        <v>85.57</v>
      </c>
      <c r="J146" s="29"/>
    </row>
    <row r="147" spans="1:10" s="112" customFormat="1" x14ac:dyDescent="0.25">
      <c r="A147" s="25"/>
      <c r="B147" s="25"/>
      <c r="C147" s="117" t="s">
        <v>95</v>
      </c>
      <c r="D147" s="26"/>
      <c r="E147" s="26"/>
      <c r="F147" s="26"/>
      <c r="G147" s="26"/>
      <c r="H147" s="28"/>
      <c r="I147" s="26"/>
      <c r="J147" s="29"/>
    </row>
    <row r="148" spans="1:10" x14ac:dyDescent="0.25">
      <c r="A148" s="25"/>
      <c r="B148" s="25"/>
      <c r="C148" s="27" t="s">
        <v>228</v>
      </c>
      <c r="D148" s="110"/>
      <c r="E148" s="41"/>
      <c r="F148" s="26"/>
      <c r="G148" s="41">
        <v>1.46</v>
      </c>
      <c r="H148" s="41"/>
      <c r="I148" s="42">
        <f>G148</f>
        <v>1.46</v>
      </c>
      <c r="J148" s="29"/>
    </row>
    <row r="149" spans="1:10" x14ac:dyDescent="0.25">
      <c r="A149" s="25"/>
      <c r="B149" s="25"/>
      <c r="C149" s="27" t="s">
        <v>229</v>
      </c>
      <c r="D149" s="110"/>
      <c r="E149" s="41"/>
      <c r="F149" s="26"/>
      <c r="G149" s="41">
        <v>32.19</v>
      </c>
      <c r="H149" s="41"/>
      <c r="I149" s="42">
        <f>G149</f>
        <v>32.19</v>
      </c>
      <c r="J149" s="29"/>
    </row>
    <row r="150" spans="1:10" x14ac:dyDescent="0.25">
      <c r="A150" s="25"/>
      <c r="B150" s="25"/>
      <c r="C150" s="27" t="s">
        <v>230</v>
      </c>
      <c r="D150" s="110"/>
      <c r="E150" s="41"/>
      <c r="F150" s="26"/>
      <c r="G150" s="41">
        <v>17.53</v>
      </c>
      <c r="H150" s="41"/>
      <c r="I150" s="42">
        <f>G150</f>
        <v>17.53</v>
      </c>
      <c r="J150" s="29"/>
    </row>
    <row r="151" spans="1:10" s="112" customFormat="1" ht="24" x14ac:dyDescent="0.25">
      <c r="A151" s="25"/>
      <c r="B151" s="25"/>
      <c r="C151" s="117" t="s">
        <v>96</v>
      </c>
      <c r="D151" s="26"/>
      <c r="E151" s="26"/>
      <c r="F151" s="26"/>
      <c r="G151" s="26"/>
      <c r="H151" s="28"/>
      <c r="I151" s="26"/>
      <c r="J151" s="29"/>
    </row>
    <row r="152" spans="1:10" x14ac:dyDescent="0.25">
      <c r="A152" s="25"/>
      <c r="B152" s="25"/>
      <c r="C152" s="27" t="s">
        <v>227</v>
      </c>
      <c r="D152" s="110"/>
      <c r="E152" s="41"/>
      <c r="F152" s="26"/>
      <c r="G152" s="41">
        <v>511.68</v>
      </c>
      <c r="H152" s="41"/>
      <c r="I152" s="42">
        <f>G152</f>
        <v>511.68</v>
      </c>
      <c r="J152" s="29"/>
    </row>
    <row r="153" spans="1:10" s="112" customFormat="1" x14ac:dyDescent="0.25">
      <c r="A153" s="25"/>
      <c r="B153" s="25"/>
      <c r="C153" s="117" t="s">
        <v>232</v>
      </c>
      <c r="D153" s="26"/>
      <c r="E153" s="26"/>
      <c r="F153" s="26"/>
      <c r="G153" s="26"/>
      <c r="H153" s="28"/>
      <c r="I153" s="26"/>
      <c r="J153" s="29"/>
    </row>
    <row r="154" spans="1:10" x14ac:dyDescent="0.25">
      <c r="A154" s="25"/>
      <c r="B154" s="25"/>
      <c r="C154" s="27" t="s">
        <v>231</v>
      </c>
      <c r="D154" s="110"/>
      <c r="E154" s="41"/>
      <c r="F154" s="26"/>
      <c r="G154" s="41">
        <v>1.23</v>
      </c>
      <c r="H154" s="41"/>
      <c r="I154" s="42">
        <f>G154</f>
        <v>1.23</v>
      </c>
      <c r="J154" s="29"/>
    </row>
    <row r="155" spans="1:10" x14ac:dyDescent="0.25">
      <c r="A155" s="25"/>
      <c r="B155" s="25"/>
      <c r="C155" s="27" t="s">
        <v>254</v>
      </c>
      <c r="D155" s="110"/>
      <c r="E155" s="41"/>
      <c r="F155" s="26"/>
      <c r="G155" s="41">
        <v>1.1499999999999999</v>
      </c>
      <c r="H155" s="41"/>
      <c r="I155" s="42">
        <f>G155</f>
        <v>1.1499999999999999</v>
      </c>
      <c r="J155" s="29"/>
    </row>
    <row r="156" spans="1:10" x14ac:dyDescent="0.25">
      <c r="A156" s="25"/>
      <c r="B156" s="25"/>
      <c r="C156" s="27" t="s">
        <v>248</v>
      </c>
      <c r="D156" s="41"/>
      <c r="E156" s="41"/>
      <c r="F156" s="41"/>
      <c r="G156" s="41">
        <v>47.54</v>
      </c>
      <c r="H156" s="28"/>
      <c r="I156" s="41">
        <f>G156</f>
        <v>47.54</v>
      </c>
      <c r="J156" s="29"/>
    </row>
    <row r="157" spans="1:10" s="112" customFormat="1" x14ac:dyDescent="0.25">
      <c r="A157" s="25"/>
      <c r="B157" s="25"/>
      <c r="C157" s="117" t="s">
        <v>279</v>
      </c>
      <c r="D157" s="26"/>
      <c r="E157" s="26"/>
      <c r="F157" s="26"/>
      <c r="G157" s="26"/>
      <c r="H157" s="28"/>
      <c r="I157" s="26"/>
      <c r="J157" s="29"/>
    </row>
    <row r="158" spans="1:10" x14ac:dyDescent="0.25">
      <c r="A158" s="25"/>
      <c r="B158" s="25"/>
      <c r="C158" s="27" t="s">
        <v>280</v>
      </c>
      <c r="D158" s="110"/>
      <c r="E158" s="41"/>
      <c r="F158" s="26"/>
      <c r="G158" s="41">
        <f>1.03*5.84</f>
        <v>6.0152000000000001</v>
      </c>
      <c r="H158" s="41"/>
      <c r="I158" s="42">
        <f t="shared" ref="I158:I163" si="2">G158</f>
        <v>6.0152000000000001</v>
      </c>
      <c r="J158" s="29"/>
    </row>
    <row r="159" spans="1:10" x14ac:dyDescent="0.25">
      <c r="A159" s="25"/>
      <c r="B159" s="25"/>
      <c r="C159" s="27" t="s">
        <v>281</v>
      </c>
      <c r="D159" s="110"/>
      <c r="E159" s="41"/>
      <c r="F159" s="26"/>
      <c r="G159" s="41">
        <v>6.93</v>
      </c>
      <c r="H159" s="41"/>
      <c r="I159" s="42">
        <f t="shared" si="2"/>
        <v>6.93</v>
      </c>
      <c r="J159" s="29"/>
    </row>
    <row r="160" spans="1:10" x14ac:dyDescent="0.25">
      <c r="A160" s="25"/>
      <c r="B160" s="25"/>
      <c r="C160" s="27" t="s">
        <v>282</v>
      </c>
      <c r="D160" s="41"/>
      <c r="E160" s="41"/>
      <c r="F160" s="41"/>
      <c r="G160" s="41">
        <f>2.86*0.89</f>
        <v>2.5453999999999999</v>
      </c>
      <c r="H160" s="28"/>
      <c r="I160" s="41">
        <f t="shared" si="2"/>
        <v>2.5453999999999999</v>
      </c>
      <c r="J160" s="29"/>
    </row>
    <row r="161" spans="1:10" x14ac:dyDescent="0.25">
      <c r="A161" s="25"/>
      <c r="B161" s="25"/>
      <c r="C161" s="27" t="s">
        <v>283</v>
      </c>
      <c r="D161" s="110"/>
      <c r="E161" s="41"/>
      <c r="F161" s="26"/>
      <c r="G161" s="41">
        <f>2.81*1.65</f>
        <v>4.6364999999999998</v>
      </c>
      <c r="H161" s="41"/>
      <c r="I161" s="42">
        <f t="shared" si="2"/>
        <v>4.6364999999999998</v>
      </c>
      <c r="J161" s="29"/>
    </row>
    <row r="162" spans="1:10" x14ac:dyDescent="0.25">
      <c r="A162" s="25"/>
      <c r="B162" s="25"/>
      <c r="C162" s="27" t="s">
        <v>284</v>
      </c>
      <c r="D162" s="110"/>
      <c r="E162" s="41"/>
      <c r="F162" s="26"/>
      <c r="G162" s="41">
        <f>5.74*0.8</f>
        <v>4.5920000000000005</v>
      </c>
      <c r="H162" s="41"/>
      <c r="I162" s="42">
        <f t="shared" si="2"/>
        <v>4.5920000000000005</v>
      </c>
      <c r="J162" s="29"/>
    </row>
    <row r="163" spans="1:10" x14ac:dyDescent="0.25">
      <c r="A163" s="25"/>
      <c r="B163" s="25"/>
      <c r="C163" s="27" t="s">
        <v>285</v>
      </c>
      <c r="D163" s="41"/>
      <c r="E163" s="41"/>
      <c r="F163" s="41"/>
      <c r="G163" s="41">
        <v>7.13</v>
      </c>
      <c r="H163" s="28"/>
      <c r="I163" s="41">
        <f t="shared" si="2"/>
        <v>7.13</v>
      </c>
      <c r="J163" s="29"/>
    </row>
    <row r="164" spans="1:10" x14ac:dyDescent="0.25">
      <c r="A164" s="25"/>
      <c r="B164" s="25"/>
      <c r="C164" s="27" t="s">
        <v>365</v>
      </c>
      <c r="D164" s="41"/>
      <c r="E164" s="41"/>
      <c r="F164" s="41"/>
      <c r="G164" s="41">
        <v>588.4</v>
      </c>
      <c r="H164" s="28"/>
      <c r="I164" s="41">
        <f>G164</f>
        <v>588.4</v>
      </c>
      <c r="J164" s="29"/>
    </row>
    <row r="165" spans="1:10" x14ac:dyDescent="0.25">
      <c r="A165" s="25"/>
      <c r="B165" s="25"/>
      <c r="C165" s="196" t="s">
        <v>373</v>
      </c>
      <c r="D165" s="41"/>
      <c r="E165" s="41"/>
      <c r="F165" s="41"/>
      <c r="G165" s="41"/>
      <c r="H165" s="28"/>
      <c r="I165" s="41"/>
      <c r="J165" s="29"/>
    </row>
    <row r="166" spans="1:10" x14ac:dyDescent="0.25">
      <c r="A166" s="25"/>
      <c r="B166" s="25"/>
      <c r="C166" s="27" t="s">
        <v>374</v>
      </c>
      <c r="D166" s="41"/>
      <c r="E166" s="41"/>
      <c r="F166" s="41"/>
      <c r="G166" s="41">
        <f>105.4</f>
        <v>105.4</v>
      </c>
      <c r="H166" s="28"/>
      <c r="I166" s="41">
        <f>G166</f>
        <v>105.4</v>
      </c>
      <c r="J166" s="29"/>
    </row>
    <row r="167" spans="1:10" x14ac:dyDescent="0.25">
      <c r="A167" s="25"/>
      <c r="B167" s="25"/>
      <c r="C167" s="27" t="s">
        <v>375</v>
      </c>
      <c r="D167" s="41"/>
      <c r="E167" s="41"/>
      <c r="F167" s="41"/>
      <c r="G167" s="41">
        <f>23.17</f>
        <v>23.17</v>
      </c>
      <c r="H167" s="28"/>
      <c r="I167" s="41">
        <f>G167</f>
        <v>23.17</v>
      </c>
      <c r="J167" s="29"/>
    </row>
    <row r="168" spans="1:10" x14ac:dyDescent="0.25">
      <c r="A168" s="25"/>
      <c r="B168" s="25"/>
      <c r="C168" s="30" t="s">
        <v>51</v>
      </c>
      <c r="D168" s="31"/>
      <c r="E168" s="32"/>
      <c r="F168" s="32"/>
      <c r="G168" s="32"/>
      <c r="H168" s="32"/>
      <c r="I168" s="31">
        <f>SUM(I145:I167)</f>
        <v>1447.1691000000001</v>
      </c>
      <c r="J168" s="20" t="s">
        <v>15</v>
      </c>
    </row>
    <row r="169" spans="1:10" x14ac:dyDescent="0.25">
      <c r="A169" s="25"/>
      <c r="B169" s="25"/>
      <c r="C169" s="43"/>
      <c r="D169" s="26"/>
      <c r="E169" s="41"/>
      <c r="F169" s="41"/>
      <c r="G169" s="41"/>
      <c r="H169" s="41"/>
      <c r="I169" s="42"/>
      <c r="J169" s="29"/>
    </row>
    <row r="170" spans="1:10" x14ac:dyDescent="0.25">
      <c r="A170" s="25"/>
      <c r="B170" s="25"/>
      <c r="C170" s="43"/>
      <c r="D170" s="26"/>
      <c r="E170" s="41"/>
      <c r="F170" s="41"/>
      <c r="G170" s="41"/>
      <c r="H170" s="41"/>
      <c r="I170" s="42"/>
      <c r="J170" s="29"/>
    </row>
    <row r="171" spans="1:10" ht="38.25" x14ac:dyDescent="0.25">
      <c r="A171" s="209">
        <f>PLANILHA!C18</f>
        <v>72949</v>
      </c>
      <c r="B171" s="209" t="str">
        <f>PLANILHA!A18</f>
        <v>1.8</v>
      </c>
      <c r="C171" s="108" t="str">
        <f>PLANILHA!D18</f>
        <v xml:space="preserve">Demolicao de pavimentacao asfaltica, exclusive transporte do material retirado
</v>
      </c>
      <c r="D171" s="26"/>
      <c r="E171" s="26"/>
      <c r="F171" s="26"/>
      <c r="G171" s="26"/>
      <c r="H171" s="26"/>
      <c r="I171" s="26"/>
      <c r="J171" s="29"/>
    </row>
    <row r="172" spans="1:10" s="112" customFormat="1" ht="20.25" customHeight="1" x14ac:dyDescent="0.25">
      <c r="A172" s="25"/>
      <c r="B172" s="25"/>
      <c r="C172" s="118" t="s">
        <v>223</v>
      </c>
      <c r="D172" s="28"/>
      <c r="E172" s="28"/>
      <c r="F172" s="28"/>
      <c r="G172" s="28"/>
      <c r="H172" s="28"/>
      <c r="I172" s="26"/>
      <c r="J172" s="29"/>
    </row>
    <row r="173" spans="1:10" s="112" customFormat="1" x14ac:dyDescent="0.25">
      <c r="A173" s="25"/>
      <c r="B173" s="25"/>
      <c r="C173" s="111" t="s">
        <v>240</v>
      </c>
      <c r="D173" s="110"/>
      <c r="E173" s="26"/>
      <c r="F173" s="26">
        <v>0.05</v>
      </c>
      <c r="G173" s="26">
        <v>35.479999999999997</v>
      </c>
      <c r="H173" s="26"/>
      <c r="I173" s="38">
        <f>G173*F173</f>
        <v>1.774</v>
      </c>
      <c r="J173" s="29"/>
    </row>
    <row r="174" spans="1:10" s="112" customFormat="1" ht="20.25" customHeight="1" x14ac:dyDescent="0.25">
      <c r="A174" s="25"/>
      <c r="B174" s="25"/>
      <c r="C174" s="118" t="s">
        <v>237</v>
      </c>
      <c r="D174" s="28"/>
      <c r="E174" s="28"/>
      <c r="F174" s="28"/>
      <c r="G174" s="28"/>
      <c r="H174" s="28"/>
      <c r="I174" s="38">
        <f t="shared" ref="I174:I183" si="3">G174*F174</f>
        <v>0</v>
      </c>
      <c r="J174" s="29"/>
    </row>
    <row r="175" spans="1:10" s="112" customFormat="1" x14ac:dyDescent="0.25">
      <c r="A175" s="25"/>
      <c r="B175" s="25"/>
      <c r="C175" s="111" t="s">
        <v>241</v>
      </c>
      <c r="D175" s="110"/>
      <c r="E175" s="26"/>
      <c r="F175" s="26">
        <v>0.05</v>
      </c>
      <c r="G175" s="26">
        <v>22.97</v>
      </c>
      <c r="H175" s="26"/>
      <c r="I175" s="38">
        <f t="shared" si="3"/>
        <v>1.1485000000000001</v>
      </c>
      <c r="J175" s="29"/>
    </row>
    <row r="176" spans="1:10" s="112" customFormat="1" ht="22.5" x14ac:dyDescent="0.25">
      <c r="A176" s="25"/>
      <c r="B176" s="25"/>
      <c r="C176" s="118" t="s">
        <v>238</v>
      </c>
      <c r="D176" s="28"/>
      <c r="E176" s="28"/>
      <c r="F176" s="28"/>
      <c r="G176" s="28"/>
      <c r="H176" s="28"/>
      <c r="I176" s="38">
        <f t="shared" si="3"/>
        <v>0</v>
      </c>
      <c r="J176" s="29"/>
    </row>
    <row r="177" spans="1:10" s="112" customFormat="1" x14ac:dyDescent="0.25">
      <c r="A177" s="25"/>
      <c r="B177" s="25"/>
      <c r="C177" s="111" t="s">
        <v>242</v>
      </c>
      <c r="D177" s="110"/>
      <c r="E177" s="26"/>
      <c r="F177" s="26">
        <v>0.05</v>
      </c>
      <c r="G177" s="26">
        <v>36.549999999999997</v>
      </c>
      <c r="H177" s="26"/>
      <c r="I177" s="38">
        <f t="shared" si="3"/>
        <v>1.8274999999999999</v>
      </c>
      <c r="J177" s="29"/>
    </row>
    <row r="178" spans="1:10" s="112" customFormat="1" ht="22.5" x14ac:dyDescent="0.25">
      <c r="A178" s="25"/>
      <c r="B178" s="25"/>
      <c r="C178" s="118" t="s">
        <v>239</v>
      </c>
      <c r="D178" s="28"/>
      <c r="E178" s="28"/>
      <c r="F178" s="28"/>
      <c r="G178" s="28"/>
      <c r="H178" s="28"/>
      <c r="I178" s="38">
        <f t="shared" si="3"/>
        <v>0</v>
      </c>
      <c r="J178" s="29"/>
    </row>
    <row r="179" spans="1:10" s="112" customFormat="1" x14ac:dyDescent="0.25">
      <c r="A179" s="25"/>
      <c r="B179" s="25"/>
      <c r="C179" s="111" t="s">
        <v>243</v>
      </c>
      <c r="D179" s="110"/>
      <c r="E179" s="26"/>
      <c r="F179" s="26">
        <v>0.05</v>
      </c>
      <c r="G179" s="26">
        <v>10.45</v>
      </c>
      <c r="H179" s="26"/>
      <c r="I179" s="38">
        <f t="shared" si="3"/>
        <v>0.52249999999999996</v>
      </c>
      <c r="J179" s="29"/>
    </row>
    <row r="180" spans="1:10" s="112" customFormat="1" x14ac:dyDescent="0.25">
      <c r="A180" s="25"/>
      <c r="B180" s="25"/>
      <c r="C180" s="111" t="s">
        <v>244</v>
      </c>
      <c r="D180" s="110"/>
      <c r="E180" s="26"/>
      <c r="F180" s="26">
        <v>0.05</v>
      </c>
      <c r="G180" s="26">
        <v>57.65</v>
      </c>
      <c r="H180" s="26"/>
      <c r="I180" s="38">
        <f t="shared" si="3"/>
        <v>2.8825000000000003</v>
      </c>
      <c r="J180" s="29"/>
    </row>
    <row r="181" spans="1:10" s="112" customFormat="1" ht="24.75" customHeight="1" x14ac:dyDescent="0.25">
      <c r="A181" s="25"/>
      <c r="B181" s="25"/>
      <c r="C181" s="119" t="s">
        <v>249</v>
      </c>
      <c r="D181" s="28"/>
      <c r="E181" s="28"/>
      <c r="F181" s="28"/>
      <c r="G181" s="28"/>
      <c r="H181" s="28"/>
      <c r="I181" s="38">
        <f t="shared" si="3"/>
        <v>0</v>
      </c>
      <c r="J181" s="29"/>
    </row>
    <row r="182" spans="1:10" s="112" customFormat="1" x14ac:dyDescent="0.25">
      <c r="A182" s="25"/>
      <c r="B182" s="25"/>
      <c r="C182" s="111" t="s">
        <v>250</v>
      </c>
      <c r="D182" s="110"/>
      <c r="E182" s="26"/>
      <c r="F182" s="26">
        <v>0.05</v>
      </c>
      <c r="G182" s="26">
        <v>24.79</v>
      </c>
      <c r="H182" s="26"/>
      <c r="I182" s="38">
        <f t="shared" si="3"/>
        <v>1.2395</v>
      </c>
      <c r="J182" s="29"/>
    </row>
    <row r="183" spans="1:10" s="112" customFormat="1" ht="24" x14ac:dyDescent="0.25">
      <c r="A183" s="25"/>
      <c r="B183" s="25"/>
      <c r="C183" s="43" t="s">
        <v>357</v>
      </c>
      <c r="D183" s="26"/>
      <c r="E183" s="26"/>
      <c r="F183" s="26">
        <v>0.05</v>
      </c>
      <c r="G183" s="26">
        <v>422.43</v>
      </c>
      <c r="H183" s="26"/>
      <c r="I183" s="38">
        <f t="shared" si="3"/>
        <v>21.121500000000001</v>
      </c>
      <c r="J183" s="29"/>
    </row>
    <row r="184" spans="1:10" s="112" customFormat="1" ht="15.75" customHeight="1" x14ac:dyDescent="0.25">
      <c r="A184" s="25"/>
      <c r="B184" s="25"/>
      <c r="C184" s="120" t="s">
        <v>51</v>
      </c>
      <c r="D184" s="121"/>
      <c r="E184" s="122"/>
      <c r="F184" s="122"/>
      <c r="G184" s="122"/>
      <c r="H184" s="122"/>
      <c r="I184" s="121">
        <f>SUM(I171:I183)</f>
        <v>30.516000000000002</v>
      </c>
      <c r="J184" s="123" t="s">
        <v>15</v>
      </c>
    </row>
    <row r="185" spans="1:10" s="112" customFormat="1" x14ac:dyDescent="0.25">
      <c r="A185" s="25"/>
      <c r="B185" s="25"/>
      <c r="C185" s="43"/>
      <c r="D185" s="26"/>
      <c r="E185" s="26"/>
      <c r="F185" s="26"/>
      <c r="G185" s="26"/>
      <c r="H185" s="26"/>
      <c r="I185" s="38"/>
      <c r="J185" s="29"/>
    </row>
    <row r="186" spans="1:10" s="112" customFormat="1" x14ac:dyDescent="0.25">
      <c r="A186" s="25"/>
      <c r="B186" s="25"/>
      <c r="C186" s="46"/>
      <c r="D186" s="47"/>
      <c r="E186" s="28"/>
      <c r="F186" s="28"/>
      <c r="G186" s="28"/>
      <c r="H186" s="28"/>
      <c r="I186" s="47"/>
      <c r="J186" s="29"/>
    </row>
    <row r="187" spans="1:10" s="112" customFormat="1" ht="21.75" customHeight="1" x14ac:dyDescent="0.25">
      <c r="A187" s="113" t="str">
        <f>PLANILHA!C19</f>
        <v>CP-01</v>
      </c>
      <c r="B187" s="113" t="str">
        <f>PLANILHA!A19</f>
        <v>1.9</v>
      </c>
      <c r="C187" s="114" t="str">
        <f>PLANILHA!D19</f>
        <v>Remoção de placa de sinalização</v>
      </c>
      <c r="D187" s="26"/>
      <c r="E187" s="26"/>
      <c r="F187" s="26"/>
      <c r="G187" s="26"/>
      <c r="H187" s="26"/>
      <c r="I187" s="26">
        <f>PRODUCT(D187:H187)</f>
        <v>0</v>
      </c>
      <c r="J187" s="48"/>
    </row>
    <row r="188" spans="1:10" s="112" customFormat="1" x14ac:dyDescent="0.25">
      <c r="A188" s="25"/>
      <c r="B188" s="25"/>
      <c r="C188" s="111" t="s">
        <v>64</v>
      </c>
      <c r="D188" s="115"/>
      <c r="E188" s="26"/>
      <c r="F188" s="26"/>
      <c r="G188" s="26"/>
      <c r="H188" s="26">
        <v>3</v>
      </c>
      <c r="I188" s="115">
        <f>PRODUCT(D188:H188)</f>
        <v>3</v>
      </c>
      <c r="J188" s="48"/>
    </row>
    <row r="189" spans="1:10" x14ac:dyDescent="0.25">
      <c r="A189" s="25"/>
      <c r="B189" s="25"/>
      <c r="C189" s="27"/>
      <c r="D189" s="49"/>
      <c r="E189" s="41"/>
      <c r="F189" s="41"/>
      <c r="G189" s="41"/>
      <c r="H189" s="41"/>
      <c r="I189" s="49"/>
      <c r="J189" s="48"/>
    </row>
    <row r="190" spans="1:10" x14ac:dyDescent="0.25">
      <c r="A190" s="25"/>
      <c r="B190" s="25"/>
      <c r="C190" s="30" t="s">
        <v>51</v>
      </c>
      <c r="D190" s="31"/>
      <c r="E190" s="32"/>
      <c r="F190" s="32"/>
      <c r="G190" s="32"/>
      <c r="H190" s="32"/>
      <c r="I190" s="31">
        <f>SUM(I187:I189)</f>
        <v>3</v>
      </c>
      <c r="J190" s="20" t="s">
        <v>49</v>
      </c>
    </row>
    <row r="191" spans="1:10" x14ac:dyDescent="0.25">
      <c r="A191" s="25"/>
      <c r="B191" s="25"/>
      <c r="C191" s="46"/>
      <c r="D191" s="47"/>
      <c r="E191" s="28"/>
      <c r="F191" s="28"/>
      <c r="G191" s="28"/>
      <c r="H191" s="28"/>
      <c r="I191" s="47"/>
      <c r="J191" s="29"/>
    </row>
    <row r="192" spans="1:10" ht="30" customHeight="1" x14ac:dyDescent="0.25">
      <c r="A192" s="113" t="str">
        <f>PLANILHA!C20</f>
        <v>03.01.050</v>
      </c>
      <c r="B192" s="113" t="str">
        <f>PLANILHA!A20</f>
        <v>1.10</v>
      </c>
      <c r="C192" s="55" t="str">
        <f>PLANILHA!D20</f>
        <v>Demoliçao de esquadria de madeira ou metálica(GRADIL).</v>
      </c>
      <c r="D192" s="26"/>
      <c r="E192" s="26"/>
      <c r="F192" s="26"/>
      <c r="G192" s="26"/>
      <c r="H192" s="26"/>
      <c r="I192" s="26"/>
      <c r="J192" s="48"/>
    </row>
    <row r="193" spans="1:10" ht="24" x14ac:dyDescent="0.25">
      <c r="A193" s="25"/>
      <c r="B193" s="25"/>
      <c r="C193" s="27" t="s">
        <v>341</v>
      </c>
      <c r="D193" s="49"/>
      <c r="E193" s="41"/>
      <c r="F193" s="41"/>
      <c r="G193" s="41"/>
      <c r="H193" s="41"/>
      <c r="I193" s="49"/>
      <c r="J193" s="48"/>
    </row>
    <row r="194" spans="1:10" s="116" customFormat="1" ht="36" x14ac:dyDescent="0.25">
      <c r="A194" s="25"/>
      <c r="B194" s="25"/>
      <c r="C194" s="111" t="s">
        <v>255</v>
      </c>
      <c r="D194" s="110">
        <v>351.13</v>
      </c>
      <c r="E194" s="26"/>
      <c r="F194" s="26">
        <v>1.5</v>
      </c>
      <c r="G194" s="26"/>
      <c r="H194" s="26"/>
      <c r="I194" s="38">
        <f>F194*D194</f>
        <v>526.69499999999994</v>
      </c>
      <c r="J194" s="29"/>
    </row>
    <row r="195" spans="1:10" x14ac:dyDescent="0.25">
      <c r="A195" s="25"/>
      <c r="B195" s="25"/>
      <c r="C195" s="46"/>
      <c r="D195" s="47"/>
      <c r="E195" s="28"/>
      <c r="F195" s="28"/>
      <c r="G195" s="28"/>
      <c r="H195" s="28"/>
      <c r="I195" s="47"/>
      <c r="J195" s="29"/>
    </row>
    <row r="196" spans="1:10" x14ac:dyDescent="0.25">
      <c r="A196" s="25"/>
      <c r="B196" s="25"/>
      <c r="C196" s="30" t="s">
        <v>51</v>
      </c>
      <c r="D196" s="31"/>
      <c r="E196" s="32"/>
      <c r="F196" s="32"/>
      <c r="G196" s="32"/>
      <c r="H196" s="32"/>
      <c r="I196" s="31">
        <f>SUM(I194:I195)</f>
        <v>526.69499999999994</v>
      </c>
      <c r="J196" s="20" t="s">
        <v>53</v>
      </c>
    </row>
    <row r="197" spans="1:10" x14ac:dyDescent="0.25">
      <c r="A197" s="25"/>
      <c r="B197" s="25"/>
      <c r="C197" s="46"/>
      <c r="D197" s="47"/>
      <c r="E197" s="28"/>
      <c r="F197" s="28"/>
      <c r="G197" s="28"/>
      <c r="H197" s="28"/>
      <c r="I197" s="47"/>
      <c r="J197" s="29"/>
    </row>
    <row r="198" spans="1:10" x14ac:dyDescent="0.25">
      <c r="A198" s="25"/>
      <c r="B198" s="25"/>
      <c r="C198" s="46"/>
      <c r="D198" s="47"/>
      <c r="E198" s="28"/>
      <c r="F198" s="28"/>
      <c r="G198" s="28"/>
      <c r="H198" s="28"/>
      <c r="I198" s="47"/>
      <c r="J198" s="29"/>
    </row>
    <row r="199" spans="1:10" s="112" customFormat="1" ht="30" customHeight="1" x14ac:dyDescent="0.25">
      <c r="A199" s="113" t="str">
        <f>PLANILHA!C21</f>
        <v>03.01.280</v>
      </c>
      <c r="B199" s="113" t="str">
        <f>PLANILHA!A21</f>
        <v>1.11</v>
      </c>
      <c r="C199" s="114" t="str">
        <f>PLANILHA!D21</f>
        <v>Demolição de meio-fio e linha d’água.</v>
      </c>
      <c r="D199" s="26"/>
      <c r="E199" s="26"/>
      <c r="F199" s="26"/>
      <c r="G199" s="26"/>
      <c r="H199" s="26"/>
      <c r="I199" s="26"/>
      <c r="J199" s="48"/>
    </row>
    <row r="200" spans="1:10" s="112" customFormat="1" x14ac:dyDescent="0.25">
      <c r="A200" s="25"/>
      <c r="B200" s="25"/>
      <c r="C200" s="111" t="s">
        <v>64</v>
      </c>
      <c r="D200" s="115"/>
      <c r="E200" s="26"/>
      <c r="F200" s="26"/>
      <c r="G200" s="26"/>
      <c r="H200" s="26"/>
      <c r="I200" s="115"/>
      <c r="J200" s="48"/>
    </row>
    <row r="201" spans="1:10" s="112" customFormat="1" x14ac:dyDescent="0.25">
      <c r="A201" s="25"/>
      <c r="B201" s="25"/>
      <c r="C201" s="117" t="s">
        <v>101</v>
      </c>
      <c r="D201" s="115"/>
      <c r="E201" s="26"/>
      <c r="F201" s="26"/>
      <c r="G201" s="26"/>
      <c r="H201" s="26"/>
      <c r="I201" s="115"/>
      <c r="J201" s="48"/>
    </row>
    <row r="202" spans="1:10" s="112" customFormat="1" ht="36" x14ac:dyDescent="0.25">
      <c r="A202" s="25"/>
      <c r="B202" s="25"/>
      <c r="C202" s="111" t="s">
        <v>256</v>
      </c>
      <c r="D202" s="115">
        <f>0.43+2.27+2.16+2.14+5.3+3.87+1.24+3.92+5.47+5.96+10.55+2.21+11.17+11.11+12.47</f>
        <v>80.27000000000001</v>
      </c>
      <c r="E202" s="26"/>
      <c r="F202" s="26"/>
      <c r="G202" s="26"/>
      <c r="H202" s="26"/>
      <c r="I202" s="115">
        <f t="shared" ref="I202" si="4">PRODUCT(D202:H202)</f>
        <v>80.27000000000001</v>
      </c>
      <c r="J202" s="48"/>
    </row>
    <row r="203" spans="1:10" s="112" customFormat="1" x14ac:dyDescent="0.25">
      <c r="A203" s="25"/>
      <c r="B203" s="25"/>
      <c r="C203" s="111" t="s">
        <v>257</v>
      </c>
      <c r="D203" s="115">
        <f>1.5+3+1.5</f>
        <v>6</v>
      </c>
      <c r="E203" s="26"/>
      <c r="F203" s="26"/>
      <c r="G203" s="26"/>
      <c r="H203" s="26"/>
      <c r="I203" s="115">
        <f t="shared" ref="I203" si="5">PRODUCT(D203:H203)</f>
        <v>6</v>
      </c>
      <c r="J203" s="48"/>
    </row>
    <row r="204" spans="1:10" s="112" customFormat="1" ht="24" x14ac:dyDescent="0.25">
      <c r="A204" s="25"/>
      <c r="B204" s="25"/>
      <c r="C204" s="111" t="s">
        <v>258</v>
      </c>
      <c r="D204" s="115">
        <f>37.38+13.84+3.95+11.35+3+5+3</f>
        <v>77.52</v>
      </c>
      <c r="E204" s="26"/>
      <c r="F204" s="26"/>
      <c r="G204" s="26"/>
      <c r="H204" s="26"/>
      <c r="I204" s="115">
        <f t="shared" ref="I204:I205" si="6">PRODUCT(D204:H204)</f>
        <v>77.52</v>
      </c>
      <c r="J204" s="48"/>
    </row>
    <row r="205" spans="1:10" s="112" customFormat="1" x14ac:dyDescent="0.25">
      <c r="A205" s="25"/>
      <c r="B205" s="25"/>
      <c r="C205" s="111" t="s">
        <v>269</v>
      </c>
      <c r="D205" s="115">
        <v>12.93</v>
      </c>
      <c r="E205" s="26"/>
      <c r="F205" s="26"/>
      <c r="G205" s="26"/>
      <c r="H205" s="26"/>
      <c r="I205" s="115">
        <f t="shared" si="6"/>
        <v>12.93</v>
      </c>
      <c r="J205" s="48"/>
    </row>
    <row r="206" spans="1:10" s="112" customFormat="1" x14ac:dyDescent="0.25">
      <c r="A206" s="25"/>
      <c r="B206" s="25"/>
      <c r="C206" s="111" t="s">
        <v>270</v>
      </c>
      <c r="D206" s="115">
        <v>17.3</v>
      </c>
      <c r="E206" s="26"/>
      <c r="F206" s="26"/>
      <c r="G206" s="26"/>
      <c r="H206" s="26"/>
      <c r="I206" s="115">
        <f t="shared" ref="I206" si="7">PRODUCT(D206:H206)</f>
        <v>17.3</v>
      </c>
      <c r="J206" s="48"/>
    </row>
    <row r="207" spans="1:10" s="112" customFormat="1" x14ac:dyDescent="0.25">
      <c r="A207" s="25"/>
      <c r="B207" s="25"/>
      <c r="C207" s="111" t="s">
        <v>271</v>
      </c>
      <c r="D207" s="115">
        <v>5.53</v>
      </c>
      <c r="E207" s="26"/>
      <c r="F207" s="26"/>
      <c r="G207" s="26"/>
      <c r="H207" s="26"/>
      <c r="I207" s="115">
        <f t="shared" ref="I207" si="8">PRODUCT(D207:H207)</f>
        <v>5.53</v>
      </c>
      <c r="J207" s="48"/>
    </row>
    <row r="208" spans="1:10" s="112" customFormat="1" x14ac:dyDescent="0.25">
      <c r="A208" s="25"/>
      <c r="B208" s="25"/>
      <c r="C208" s="117" t="s">
        <v>113</v>
      </c>
      <c r="D208" s="115"/>
      <c r="E208" s="26"/>
      <c r="F208" s="26"/>
      <c r="G208" s="26"/>
      <c r="H208" s="26"/>
      <c r="I208" s="115"/>
      <c r="J208" s="48"/>
    </row>
    <row r="209" spans="1:10" s="112" customFormat="1" x14ac:dyDescent="0.25">
      <c r="A209" s="25"/>
      <c r="B209" s="25"/>
      <c r="C209" s="111" t="s">
        <v>272</v>
      </c>
      <c r="D209" s="115">
        <f>31.93+3.94+3.51+3+2+2.29</f>
        <v>46.669999999999995</v>
      </c>
      <c r="E209" s="26"/>
      <c r="F209" s="26"/>
      <c r="G209" s="26"/>
      <c r="H209" s="26"/>
      <c r="I209" s="115">
        <f t="shared" ref="I209" si="9">PRODUCT(D209:H209)</f>
        <v>46.669999999999995</v>
      </c>
      <c r="J209" s="48"/>
    </row>
    <row r="210" spans="1:10" s="112" customFormat="1" x14ac:dyDescent="0.25">
      <c r="A210" s="25"/>
      <c r="B210" s="25"/>
      <c r="C210" s="117" t="s">
        <v>259</v>
      </c>
      <c r="D210" s="115"/>
      <c r="E210" s="26"/>
      <c r="F210" s="26"/>
      <c r="G210" s="26"/>
      <c r="H210" s="26"/>
      <c r="I210" s="115"/>
      <c r="J210" s="48"/>
    </row>
    <row r="211" spans="1:10" s="112" customFormat="1" x14ac:dyDescent="0.25">
      <c r="A211" s="25"/>
      <c r="B211" s="25"/>
      <c r="C211" s="111" t="s">
        <v>260</v>
      </c>
      <c r="D211" s="115">
        <f>2+5+2+1.25</f>
        <v>10.25</v>
      </c>
      <c r="E211" s="26"/>
      <c r="F211" s="26"/>
      <c r="G211" s="26"/>
      <c r="H211" s="26"/>
      <c r="I211" s="115">
        <f t="shared" ref="I211" si="10">PRODUCT(D211:H211)</f>
        <v>10.25</v>
      </c>
      <c r="J211" s="48"/>
    </row>
    <row r="212" spans="1:10" s="112" customFormat="1" x14ac:dyDescent="0.25">
      <c r="A212" s="25"/>
      <c r="B212" s="25"/>
      <c r="C212" s="111" t="s">
        <v>261</v>
      </c>
      <c r="D212" s="115">
        <f>4.8+30.27+2.37+3.43</f>
        <v>40.869999999999997</v>
      </c>
      <c r="E212" s="26"/>
      <c r="F212" s="26"/>
      <c r="G212" s="26"/>
      <c r="H212" s="26"/>
      <c r="I212" s="115">
        <f t="shared" ref="I212" si="11">PRODUCT(D212:H212)</f>
        <v>40.869999999999997</v>
      </c>
      <c r="J212" s="48"/>
    </row>
    <row r="213" spans="1:10" s="112" customFormat="1" x14ac:dyDescent="0.25">
      <c r="A213" s="25"/>
      <c r="B213" s="25"/>
      <c r="C213" s="111" t="s">
        <v>262</v>
      </c>
      <c r="D213" s="115">
        <v>29.81</v>
      </c>
      <c r="E213" s="26"/>
      <c r="F213" s="26"/>
      <c r="G213" s="26"/>
      <c r="H213" s="26"/>
      <c r="I213" s="115">
        <f t="shared" ref="I213" si="12">PRODUCT(D213:H213)</f>
        <v>29.81</v>
      </c>
      <c r="J213" s="48"/>
    </row>
    <row r="214" spans="1:10" s="112" customFormat="1" x14ac:dyDescent="0.25">
      <c r="A214" s="25"/>
      <c r="B214" s="25"/>
      <c r="C214" s="111" t="s">
        <v>263</v>
      </c>
      <c r="D214" s="115">
        <f>0.7+7+0.7</f>
        <v>8.4</v>
      </c>
      <c r="E214" s="26"/>
      <c r="F214" s="26"/>
      <c r="G214" s="26"/>
      <c r="H214" s="26"/>
      <c r="I214" s="115">
        <f t="shared" ref="I214" si="13">PRODUCT(D214:H214)</f>
        <v>8.4</v>
      </c>
      <c r="J214" s="48"/>
    </row>
    <row r="215" spans="1:10" s="112" customFormat="1" x14ac:dyDescent="0.25">
      <c r="A215" s="25"/>
      <c r="B215" s="25"/>
      <c r="C215" s="111" t="s">
        <v>264</v>
      </c>
      <c r="D215" s="115">
        <f>3+4.72+1.82+9.37+1.41+3</f>
        <v>23.319999999999997</v>
      </c>
      <c r="E215" s="26"/>
      <c r="F215" s="26"/>
      <c r="G215" s="26"/>
      <c r="H215" s="26"/>
      <c r="I215" s="115">
        <f t="shared" ref="I215" si="14">PRODUCT(D215:H215)</f>
        <v>23.319999999999997</v>
      </c>
      <c r="J215" s="48"/>
    </row>
    <row r="216" spans="1:10" s="112" customFormat="1" ht="24" x14ac:dyDescent="0.25">
      <c r="A216" s="25"/>
      <c r="B216" s="25"/>
      <c r="C216" s="111" t="s">
        <v>265</v>
      </c>
      <c r="D216" s="115">
        <f>1.52+2.78+2+1.85+3+3.11+2+1.9</f>
        <v>18.159999999999997</v>
      </c>
      <c r="E216" s="26"/>
      <c r="F216" s="26"/>
      <c r="G216" s="26"/>
      <c r="H216" s="26"/>
      <c r="I216" s="115">
        <f t="shared" ref="I216" si="15">PRODUCT(D216:H216)</f>
        <v>18.159999999999997</v>
      </c>
      <c r="J216" s="48"/>
    </row>
    <row r="217" spans="1:10" s="112" customFormat="1" x14ac:dyDescent="0.25">
      <c r="A217" s="25"/>
      <c r="B217" s="25"/>
      <c r="C217" s="111" t="s">
        <v>266</v>
      </c>
      <c r="D217" s="115">
        <f>12.51+3+2+6.4</f>
        <v>23.909999999999997</v>
      </c>
      <c r="E217" s="26"/>
      <c r="F217" s="26"/>
      <c r="G217" s="26"/>
      <c r="H217" s="26"/>
      <c r="I217" s="115">
        <f t="shared" ref="I217" si="16">PRODUCT(D217:H217)</f>
        <v>23.909999999999997</v>
      </c>
      <c r="J217" s="48"/>
    </row>
    <row r="218" spans="1:10" s="112" customFormat="1" x14ac:dyDescent="0.25">
      <c r="A218" s="25"/>
      <c r="B218" s="25"/>
      <c r="C218" s="117" t="s">
        <v>267</v>
      </c>
      <c r="D218" s="115"/>
      <c r="E218" s="26"/>
      <c r="F218" s="26"/>
      <c r="G218" s="26"/>
      <c r="H218" s="26"/>
      <c r="I218" s="115"/>
      <c r="J218" s="48"/>
    </row>
    <row r="219" spans="1:10" s="112" customFormat="1" ht="24" x14ac:dyDescent="0.25">
      <c r="A219" s="25"/>
      <c r="B219" s="25"/>
      <c r="C219" s="111" t="s">
        <v>268</v>
      </c>
      <c r="D219" s="115">
        <f>16.99+2+3+2+1.38+8.62+43.27+9.42</f>
        <v>86.679999999999993</v>
      </c>
      <c r="E219" s="26"/>
      <c r="F219" s="26"/>
      <c r="G219" s="26"/>
      <c r="H219" s="26"/>
      <c r="I219" s="115">
        <f t="shared" ref="I219" si="17">PRODUCT(D219:H219)</f>
        <v>86.679999999999993</v>
      </c>
      <c r="J219" s="48"/>
    </row>
    <row r="220" spans="1:10" s="112" customFormat="1" ht="36" x14ac:dyDescent="0.25">
      <c r="A220" s="25"/>
      <c r="B220" s="25"/>
      <c r="C220" s="111" t="s">
        <v>291</v>
      </c>
      <c r="D220" s="115">
        <f>4.73+2.23+4.99+5.77+5.55+0.5+7.47+4.8+5.97+2.41+4.22+10.03+7.3+4.44+2.99+0.29+1.2+1.12+4.13+10.44</f>
        <v>90.58</v>
      </c>
      <c r="E220" s="26"/>
      <c r="F220" s="26"/>
      <c r="G220" s="26"/>
      <c r="H220" s="26"/>
      <c r="I220" s="115">
        <f t="shared" ref="I220:I221" si="18">PRODUCT(D220:H220)</f>
        <v>90.58</v>
      </c>
      <c r="J220" s="48"/>
    </row>
    <row r="221" spans="1:10" s="112" customFormat="1" ht="24" x14ac:dyDescent="0.25">
      <c r="A221" s="25"/>
      <c r="B221" s="25"/>
      <c r="C221" s="111" t="s">
        <v>292</v>
      </c>
      <c r="D221" s="115">
        <f>1.7+1.51+1.87+3.113+1.36+18.95+2.03+1+0.82+1.49+6.46</f>
        <v>40.303000000000004</v>
      </c>
      <c r="E221" s="26"/>
      <c r="F221" s="26"/>
      <c r="G221" s="26"/>
      <c r="H221" s="26"/>
      <c r="I221" s="115">
        <f t="shared" si="18"/>
        <v>40.303000000000004</v>
      </c>
      <c r="J221" s="48"/>
    </row>
    <row r="222" spans="1:10" s="112" customFormat="1" x14ac:dyDescent="0.25">
      <c r="A222" s="25"/>
      <c r="B222" s="25"/>
      <c r="C222" s="111" t="s">
        <v>293</v>
      </c>
      <c r="D222" s="115">
        <f>2.09+3.86+1.64+18.11+3.33+1.11+0.56</f>
        <v>30.7</v>
      </c>
      <c r="E222" s="26"/>
      <c r="F222" s="26"/>
      <c r="G222" s="26"/>
      <c r="H222" s="26"/>
      <c r="I222" s="115">
        <f t="shared" ref="I222" si="19">PRODUCT(D222:H222)</f>
        <v>30.7</v>
      </c>
      <c r="J222" s="48"/>
    </row>
    <row r="223" spans="1:10" s="112" customFormat="1" x14ac:dyDescent="0.25">
      <c r="A223" s="25"/>
      <c r="B223" s="25"/>
      <c r="C223" s="117" t="s">
        <v>273</v>
      </c>
      <c r="D223" s="115"/>
      <c r="E223" s="26"/>
      <c r="F223" s="26"/>
      <c r="G223" s="26"/>
      <c r="H223" s="26"/>
      <c r="I223" s="115"/>
      <c r="J223" s="48"/>
    </row>
    <row r="224" spans="1:10" s="112" customFormat="1" ht="24" x14ac:dyDescent="0.25">
      <c r="A224" s="25"/>
      <c r="B224" s="25"/>
      <c r="C224" s="111" t="s">
        <v>274</v>
      </c>
      <c r="D224" s="115">
        <f>4.02+9.81+1.35+5.63+0.84+3.45+4.64+3.86+4.77+11.06</f>
        <v>49.430000000000007</v>
      </c>
      <c r="E224" s="26"/>
      <c r="F224" s="26"/>
      <c r="G224" s="26"/>
      <c r="H224" s="26"/>
      <c r="I224" s="115">
        <f t="shared" ref="I224" si="20">PRODUCT(D224:H224)</f>
        <v>49.430000000000007</v>
      </c>
      <c r="J224" s="48"/>
    </row>
    <row r="225" spans="1:10" s="112" customFormat="1" ht="24" x14ac:dyDescent="0.25">
      <c r="A225" s="25"/>
      <c r="B225" s="25"/>
      <c r="C225" s="111" t="s">
        <v>275</v>
      </c>
      <c r="D225" s="115">
        <f>4.02+5.76+1.14+7.81+2+3+2+3.41+7.99+5.47+13.83</f>
        <v>56.43</v>
      </c>
      <c r="E225" s="26"/>
      <c r="F225" s="26"/>
      <c r="G225" s="26"/>
      <c r="H225" s="26"/>
      <c r="I225" s="115">
        <f t="shared" ref="I225" si="21">PRODUCT(D225:H225)</f>
        <v>56.43</v>
      </c>
      <c r="J225" s="48"/>
    </row>
    <row r="226" spans="1:10" s="112" customFormat="1" ht="24" x14ac:dyDescent="0.25">
      <c r="A226" s="25"/>
      <c r="B226" s="25"/>
      <c r="C226" s="111" t="s">
        <v>276</v>
      </c>
      <c r="D226" s="115">
        <f>22.94+2.5+6.74+3.99+2.45+1.35+4.95+2.27</f>
        <v>47.190000000000012</v>
      </c>
      <c r="E226" s="26"/>
      <c r="F226" s="26"/>
      <c r="G226" s="26"/>
      <c r="H226" s="26"/>
      <c r="I226" s="115">
        <f t="shared" ref="I226" si="22">PRODUCT(D226:H226)</f>
        <v>47.190000000000012</v>
      </c>
      <c r="J226" s="48"/>
    </row>
    <row r="227" spans="1:10" s="112" customFormat="1" x14ac:dyDescent="0.25">
      <c r="A227" s="25"/>
      <c r="B227" s="25"/>
      <c r="C227" s="117" t="s">
        <v>286</v>
      </c>
      <c r="D227" s="115"/>
      <c r="E227" s="26"/>
      <c r="F227" s="26"/>
      <c r="G227" s="26"/>
      <c r="H227" s="26"/>
      <c r="I227" s="115"/>
      <c r="J227" s="48"/>
    </row>
    <row r="228" spans="1:10" s="112" customFormat="1" x14ac:dyDescent="0.25">
      <c r="A228" s="25"/>
      <c r="B228" s="25"/>
      <c r="C228" s="111" t="s">
        <v>287</v>
      </c>
      <c r="D228" s="115">
        <f>13.69+5.67+28.65+8.33</f>
        <v>56.339999999999996</v>
      </c>
      <c r="E228" s="26"/>
      <c r="F228" s="26"/>
      <c r="G228" s="26"/>
      <c r="H228" s="26"/>
      <c r="I228" s="115">
        <f t="shared" ref="I228" si="23">PRODUCT(D228:H228)</f>
        <v>56.339999999999996</v>
      </c>
      <c r="J228" s="48"/>
    </row>
    <row r="229" spans="1:10" s="112" customFormat="1" x14ac:dyDescent="0.25">
      <c r="A229" s="25"/>
      <c r="B229" s="25"/>
      <c r="C229" s="111" t="s">
        <v>288</v>
      </c>
      <c r="D229" s="115">
        <f>0.5+4+0.5</f>
        <v>5</v>
      </c>
      <c r="E229" s="26"/>
      <c r="F229" s="26"/>
      <c r="G229" s="26"/>
      <c r="H229" s="26"/>
      <c r="I229" s="115">
        <f t="shared" ref="I229" si="24">PRODUCT(D229:H229)</f>
        <v>5</v>
      </c>
      <c r="J229" s="48"/>
    </row>
    <row r="230" spans="1:10" s="112" customFormat="1" x14ac:dyDescent="0.25">
      <c r="A230" s="25"/>
      <c r="B230" s="25"/>
      <c r="C230" s="117" t="s">
        <v>87</v>
      </c>
      <c r="D230" s="115"/>
      <c r="E230" s="26"/>
      <c r="F230" s="26"/>
      <c r="G230" s="26"/>
      <c r="H230" s="26"/>
      <c r="I230" s="115"/>
      <c r="J230" s="48"/>
    </row>
    <row r="231" spans="1:10" s="112" customFormat="1" x14ac:dyDescent="0.25">
      <c r="A231" s="25"/>
      <c r="B231" s="25"/>
      <c r="C231" s="111" t="s">
        <v>289</v>
      </c>
      <c r="D231" s="115">
        <f>1.76+3.02+0.98+2.35+4.89+4.9+4.71</f>
        <v>22.61</v>
      </c>
      <c r="E231" s="26"/>
      <c r="F231" s="26"/>
      <c r="G231" s="26"/>
      <c r="H231" s="26"/>
      <c r="I231" s="115">
        <f t="shared" ref="I231" si="25">PRODUCT(D231:H231)</f>
        <v>22.61</v>
      </c>
      <c r="J231" s="48"/>
    </row>
    <row r="232" spans="1:10" s="112" customFormat="1" ht="24" x14ac:dyDescent="0.25">
      <c r="A232" s="25"/>
      <c r="B232" s="25"/>
      <c r="C232" s="111" t="s">
        <v>290</v>
      </c>
      <c r="D232" s="115">
        <f>1.95+0.7+5+0.7+2.06+2.71+5.3+3.96+0.49</f>
        <v>22.87</v>
      </c>
      <c r="E232" s="26"/>
      <c r="F232" s="26"/>
      <c r="G232" s="26"/>
      <c r="H232" s="26"/>
      <c r="I232" s="115">
        <f t="shared" ref="I232" si="26">PRODUCT(D232:H232)</f>
        <v>22.87</v>
      </c>
      <c r="J232" s="48"/>
    </row>
    <row r="233" spans="1:10" s="112" customFormat="1" x14ac:dyDescent="0.25">
      <c r="A233" s="25"/>
      <c r="B233" s="25"/>
      <c r="C233" s="111"/>
      <c r="D233" s="115"/>
      <c r="E233" s="26"/>
      <c r="F233" s="26"/>
      <c r="G233" s="26"/>
      <c r="H233" s="26"/>
      <c r="I233" s="115"/>
      <c r="J233" s="48"/>
    </row>
    <row r="234" spans="1:10" s="52" customFormat="1" x14ac:dyDescent="0.25">
      <c r="A234" s="25"/>
      <c r="B234" s="25"/>
      <c r="C234" s="27"/>
      <c r="D234" s="49"/>
      <c r="E234" s="41"/>
      <c r="F234" s="41"/>
      <c r="G234" s="41"/>
      <c r="H234" s="41"/>
      <c r="I234" s="49"/>
      <c r="J234" s="48"/>
    </row>
    <row r="235" spans="1:10" s="52" customFormat="1" x14ac:dyDescent="0.25">
      <c r="A235" s="25"/>
      <c r="B235" s="25"/>
      <c r="C235" s="30" t="s">
        <v>51</v>
      </c>
      <c r="D235" s="31"/>
      <c r="E235" s="32"/>
      <c r="F235" s="32"/>
      <c r="G235" s="32"/>
      <c r="H235" s="32"/>
      <c r="I235" s="31">
        <f>SUM(I199:I234)</f>
        <v>909.07300000000009</v>
      </c>
      <c r="J235" s="20" t="s">
        <v>22</v>
      </c>
    </row>
    <row r="236" spans="1:10" s="52" customFormat="1" x14ac:dyDescent="0.25">
      <c r="A236" s="25"/>
      <c r="B236" s="25"/>
      <c r="C236" s="46"/>
      <c r="D236" s="47"/>
      <c r="E236" s="28"/>
      <c r="F236" s="28"/>
      <c r="G236" s="28"/>
      <c r="H236" s="28"/>
      <c r="I236" s="47"/>
      <c r="J236" s="61"/>
    </row>
    <row r="237" spans="1:10" s="112" customFormat="1" ht="37.5" customHeight="1" x14ac:dyDescent="0.25">
      <c r="A237" s="113" t="str">
        <f>PLANILHA!C22</f>
        <v>CP-02</v>
      </c>
      <c r="B237" s="113" t="str">
        <f>PLANILHA!A22</f>
        <v>1.12</v>
      </c>
      <c r="C237" s="114" t="str">
        <f>PLANILHA!D22</f>
        <v>Demolicao de piso em blocos intertravado de concreto.</v>
      </c>
      <c r="D237" s="26"/>
      <c r="E237" s="26"/>
      <c r="F237" s="26"/>
      <c r="G237" s="26"/>
      <c r="H237" s="26"/>
      <c r="I237" s="26"/>
      <c r="J237" s="48"/>
    </row>
    <row r="238" spans="1:10" s="112" customFormat="1" x14ac:dyDescent="0.25">
      <c r="A238" s="25"/>
      <c r="B238" s="25"/>
      <c r="C238" s="111" t="s">
        <v>64</v>
      </c>
      <c r="D238" s="115"/>
      <c r="E238" s="26"/>
      <c r="F238" s="26"/>
      <c r="G238" s="26"/>
      <c r="H238" s="26"/>
      <c r="I238" s="115"/>
      <c r="J238" s="48"/>
    </row>
    <row r="239" spans="1:10" s="112" customFormat="1" x14ac:dyDescent="0.25">
      <c r="A239" s="25"/>
      <c r="B239" s="25"/>
      <c r="C239" s="117" t="s">
        <v>297</v>
      </c>
      <c r="D239" s="115"/>
      <c r="E239" s="26"/>
      <c r="F239" s="26"/>
      <c r="G239" s="26"/>
      <c r="H239" s="26"/>
      <c r="I239" s="115"/>
      <c r="J239" s="48"/>
    </row>
    <row r="240" spans="1:10" s="112" customFormat="1" x14ac:dyDescent="0.25">
      <c r="A240" s="25"/>
      <c r="B240" s="25"/>
      <c r="C240" s="111" t="s">
        <v>294</v>
      </c>
      <c r="D240" s="110"/>
      <c r="E240" s="26"/>
      <c r="F240" s="26"/>
      <c r="G240" s="26">
        <v>6.01</v>
      </c>
      <c r="H240" s="26"/>
      <c r="I240" s="38">
        <f>G240</f>
        <v>6.01</v>
      </c>
      <c r="J240" s="29"/>
    </row>
    <row r="241" spans="1:10" s="112" customFormat="1" x14ac:dyDescent="0.25">
      <c r="A241" s="25"/>
      <c r="B241" s="25"/>
      <c r="C241" s="111" t="s">
        <v>295</v>
      </c>
      <c r="D241" s="110"/>
      <c r="E241" s="26"/>
      <c r="F241" s="26"/>
      <c r="G241" s="26">
        <v>41.09</v>
      </c>
      <c r="H241" s="26"/>
      <c r="I241" s="38">
        <f>G241</f>
        <v>41.09</v>
      </c>
      <c r="J241" s="29"/>
    </row>
    <row r="242" spans="1:10" s="112" customFormat="1" x14ac:dyDescent="0.25">
      <c r="A242" s="25"/>
      <c r="B242" s="25"/>
      <c r="C242" s="111" t="s">
        <v>296</v>
      </c>
      <c r="D242" s="110"/>
      <c r="E242" s="26"/>
      <c r="F242" s="26"/>
      <c r="G242" s="26">
        <v>5.13</v>
      </c>
      <c r="H242" s="26"/>
      <c r="I242" s="38">
        <f>G242</f>
        <v>5.13</v>
      </c>
      <c r="J242" s="29"/>
    </row>
    <row r="243" spans="1:10" s="112" customFormat="1" ht="37.5" customHeight="1" x14ac:dyDescent="0.25">
      <c r="A243" s="25"/>
      <c r="B243" s="25"/>
      <c r="C243" s="111" t="s">
        <v>363</v>
      </c>
      <c r="D243" s="115"/>
      <c r="E243" s="26"/>
      <c r="F243" s="26"/>
      <c r="G243" s="26">
        <v>174.59</v>
      </c>
      <c r="H243" s="26"/>
      <c r="I243" s="115">
        <f>G243</f>
        <v>174.59</v>
      </c>
      <c r="J243" s="48"/>
    </row>
    <row r="244" spans="1:10" ht="48.75" customHeight="1" x14ac:dyDescent="0.25">
      <c r="A244" s="25"/>
      <c r="B244" s="25"/>
      <c r="C244" s="55" t="s">
        <v>105</v>
      </c>
      <c r="D244" s="49"/>
      <c r="E244" s="41"/>
      <c r="F244" s="41"/>
      <c r="G244" s="41">
        <v>534.86</v>
      </c>
      <c r="H244" s="41"/>
      <c r="I244" s="49">
        <f>G244</f>
        <v>534.86</v>
      </c>
      <c r="J244" s="48"/>
    </row>
    <row r="245" spans="1:10" s="52" customFormat="1" x14ac:dyDescent="0.25">
      <c r="A245" s="25"/>
      <c r="B245" s="25"/>
      <c r="C245" s="27"/>
      <c r="D245" s="49"/>
      <c r="E245" s="41"/>
      <c r="F245" s="41"/>
      <c r="G245" s="41"/>
      <c r="H245" s="41"/>
      <c r="I245" s="49"/>
      <c r="J245" s="48"/>
    </row>
    <row r="246" spans="1:10" s="52" customFormat="1" x14ac:dyDescent="0.25">
      <c r="A246" s="25"/>
      <c r="B246" s="25"/>
      <c r="C246" s="30" t="s">
        <v>51</v>
      </c>
      <c r="D246" s="31"/>
      <c r="E246" s="32"/>
      <c r="F246" s="32"/>
      <c r="G246" s="32"/>
      <c r="H246" s="32"/>
      <c r="I246" s="31">
        <f>SUM(I237:I245)</f>
        <v>761.68000000000006</v>
      </c>
      <c r="J246" s="20" t="s">
        <v>15</v>
      </c>
    </row>
    <row r="247" spans="1:10" s="52" customFormat="1" x14ac:dyDescent="0.25">
      <c r="A247" s="25"/>
      <c r="B247" s="25"/>
      <c r="C247" s="46"/>
      <c r="D247" s="47"/>
      <c r="E247" s="28"/>
      <c r="F247" s="28"/>
      <c r="G247" s="28"/>
      <c r="H247" s="28"/>
      <c r="I247" s="47"/>
      <c r="J247" s="61"/>
    </row>
    <row r="248" spans="1:10" s="112" customFormat="1" ht="25.5" x14ac:dyDescent="0.25">
      <c r="A248" s="113" t="str">
        <f>PLANILHA!C23</f>
        <v>CP-03</v>
      </c>
      <c r="B248" s="113" t="str">
        <f>PLANILHA!A23</f>
        <v>1.13</v>
      </c>
      <c r="C248" s="114" t="str">
        <f>PLANILHA!D23</f>
        <v>Retirada de poste de concreto, fixado no solo sem remoção.</v>
      </c>
      <c r="D248" s="26"/>
      <c r="E248" s="26"/>
      <c r="F248" s="26"/>
      <c r="G248" s="26"/>
      <c r="H248" s="26"/>
      <c r="I248" s="26"/>
      <c r="J248" s="48"/>
    </row>
    <row r="249" spans="1:10" s="112" customFormat="1" x14ac:dyDescent="0.25">
      <c r="A249" s="25"/>
      <c r="B249" s="25"/>
      <c r="C249" s="111" t="s">
        <v>64</v>
      </c>
      <c r="D249" s="115"/>
      <c r="E249" s="26"/>
      <c r="F249" s="26"/>
      <c r="G249" s="26"/>
      <c r="H249" s="26"/>
      <c r="I249" s="115"/>
      <c r="J249" s="48"/>
    </row>
    <row r="250" spans="1:10" s="52" customFormat="1" x14ac:dyDescent="0.25">
      <c r="A250" s="25"/>
      <c r="B250" s="25"/>
      <c r="C250" s="27"/>
      <c r="D250" s="49"/>
      <c r="E250" s="41"/>
      <c r="F250" s="41"/>
      <c r="G250" s="41"/>
      <c r="H250" s="41"/>
      <c r="I250" s="49">
        <v>3</v>
      </c>
      <c r="J250" s="48"/>
    </row>
    <row r="251" spans="1:10" s="52" customFormat="1" x14ac:dyDescent="0.25">
      <c r="A251" s="25"/>
      <c r="B251" s="25"/>
      <c r="C251" s="27"/>
      <c r="D251" s="49"/>
      <c r="E251" s="41"/>
      <c r="F251" s="41"/>
      <c r="G251" s="41"/>
      <c r="H251" s="41"/>
      <c r="I251" s="49"/>
      <c r="J251" s="48"/>
    </row>
    <row r="252" spans="1:10" s="52" customFormat="1" x14ac:dyDescent="0.25">
      <c r="A252" s="25"/>
      <c r="B252" s="25"/>
      <c r="C252" s="30" t="s">
        <v>51</v>
      </c>
      <c r="D252" s="31"/>
      <c r="E252" s="32"/>
      <c r="F252" s="32"/>
      <c r="G252" s="32"/>
      <c r="H252" s="32"/>
      <c r="I252" s="31">
        <f>SUM(I248:I251)</f>
        <v>3</v>
      </c>
      <c r="J252" s="20" t="s">
        <v>49</v>
      </c>
    </row>
    <row r="253" spans="1:10" s="52" customFormat="1" x14ac:dyDescent="0.25">
      <c r="A253" s="25"/>
      <c r="B253" s="25"/>
      <c r="C253" s="46"/>
      <c r="D253" s="47"/>
      <c r="E253" s="28"/>
      <c r="F253" s="28"/>
      <c r="G253" s="28"/>
      <c r="H253" s="28"/>
      <c r="I253" s="47"/>
      <c r="J253" s="61"/>
    </row>
    <row r="254" spans="1:10" s="52" customFormat="1" ht="25.5" x14ac:dyDescent="0.25">
      <c r="A254" s="113" t="str">
        <f>PLANILHA!C24</f>
        <v>CP-05</v>
      </c>
      <c r="B254" s="113" t="str">
        <f>PLANILHA!A24</f>
        <v>1.14</v>
      </c>
      <c r="C254" s="55" t="str">
        <f>PLANILHA!D24</f>
        <v>Demolição de paradas de onibus em concreto estrutural</v>
      </c>
      <c r="D254" s="26"/>
      <c r="E254" s="26"/>
      <c r="F254" s="26"/>
      <c r="G254" s="26"/>
      <c r="H254" s="26"/>
      <c r="I254" s="26"/>
      <c r="J254" s="48"/>
    </row>
    <row r="255" spans="1:10" s="112" customFormat="1" x14ac:dyDescent="0.25">
      <c r="A255" s="25"/>
      <c r="B255" s="25"/>
      <c r="C255" s="111" t="s">
        <v>64</v>
      </c>
      <c r="D255" s="115"/>
      <c r="E255" s="26"/>
      <c r="F255" s="26"/>
      <c r="G255" s="26"/>
      <c r="H255" s="26"/>
      <c r="I255" s="115"/>
      <c r="J255" s="48"/>
    </row>
    <row r="256" spans="1:10" s="52" customFormat="1" x14ac:dyDescent="0.25">
      <c r="A256" s="25"/>
      <c r="B256" s="25"/>
      <c r="C256" s="27"/>
      <c r="D256" s="49"/>
      <c r="E256" s="41"/>
      <c r="F256" s="41"/>
      <c r="G256" s="41"/>
      <c r="H256" s="41">
        <v>1</v>
      </c>
      <c r="I256" s="49">
        <f t="shared" ref="I256" si="27">PRODUCT(D256:H256)</f>
        <v>1</v>
      </c>
      <c r="J256" s="48"/>
    </row>
    <row r="257" spans="1:10" s="52" customFormat="1" x14ac:dyDescent="0.25">
      <c r="A257" s="25"/>
      <c r="B257" s="25"/>
      <c r="C257" s="27"/>
      <c r="D257" s="49"/>
      <c r="E257" s="41"/>
      <c r="F257" s="41"/>
      <c r="G257" s="41"/>
      <c r="H257" s="41" t="s">
        <v>278</v>
      </c>
      <c r="I257" s="49"/>
      <c r="J257" s="48"/>
    </row>
    <row r="258" spans="1:10" s="52" customFormat="1" x14ac:dyDescent="0.25">
      <c r="A258" s="25"/>
      <c r="B258" s="25"/>
      <c r="C258" s="30" t="s">
        <v>51</v>
      </c>
      <c r="D258" s="31"/>
      <c r="E258" s="32"/>
      <c r="F258" s="32"/>
      <c r="G258" s="32"/>
      <c r="H258" s="32"/>
      <c r="I258" s="31">
        <f>SUM(I254:I257)</f>
        <v>1</v>
      </c>
      <c r="J258" s="20" t="s">
        <v>49</v>
      </c>
    </row>
    <row r="259" spans="1:10" s="52" customFormat="1" x14ac:dyDescent="0.25">
      <c r="A259" s="25"/>
      <c r="B259" s="25"/>
      <c r="C259" s="46"/>
      <c r="D259" s="47"/>
      <c r="E259" s="28"/>
      <c r="F259" s="28"/>
      <c r="G259" s="28"/>
      <c r="H259" s="28"/>
      <c r="I259" s="47"/>
      <c r="J259" s="29"/>
    </row>
    <row r="260" spans="1:10" s="112" customFormat="1" x14ac:dyDescent="0.25">
      <c r="A260" s="113" t="str">
        <f>PLANILHA!C25</f>
        <v>CP-06</v>
      </c>
      <c r="B260" s="113" t="str">
        <f>PLANILHA!A25</f>
        <v>1.15</v>
      </c>
      <c r="C260" s="114" t="str">
        <f>PLANILHA!D25</f>
        <v>Demolição de frade em concreto armado</v>
      </c>
      <c r="D260" s="26"/>
      <c r="E260" s="26"/>
      <c r="F260" s="26"/>
      <c r="G260" s="26"/>
      <c r="H260" s="26"/>
      <c r="I260" s="26"/>
      <c r="J260" s="48"/>
    </row>
    <row r="261" spans="1:10" s="112" customFormat="1" x14ac:dyDescent="0.25">
      <c r="A261" s="25"/>
      <c r="B261" s="25"/>
      <c r="C261" s="111" t="s">
        <v>64</v>
      </c>
      <c r="D261" s="115"/>
      <c r="E261" s="26"/>
      <c r="F261" s="26"/>
      <c r="G261" s="26"/>
      <c r="H261" s="26"/>
      <c r="I261" s="115"/>
      <c r="J261" s="48"/>
    </row>
    <row r="262" spans="1:10" s="52" customFormat="1" x14ac:dyDescent="0.25">
      <c r="A262" s="25"/>
      <c r="B262" s="25"/>
      <c r="C262" s="111"/>
      <c r="D262" s="115"/>
      <c r="E262" s="26"/>
      <c r="F262" s="26"/>
      <c r="G262" s="26"/>
      <c r="H262" s="26">
        <v>49</v>
      </c>
      <c r="I262" s="115">
        <f t="shared" ref="I262" si="28">PRODUCT(D262:H262)</f>
        <v>49</v>
      </c>
      <c r="J262" s="48"/>
    </row>
    <row r="263" spans="1:10" s="52" customFormat="1" x14ac:dyDescent="0.25">
      <c r="A263" s="25"/>
      <c r="B263" s="25"/>
      <c r="C263" s="111"/>
      <c r="D263" s="115"/>
      <c r="E263" s="26"/>
      <c r="F263" s="26"/>
      <c r="G263" s="26"/>
      <c r="H263" s="26"/>
      <c r="I263" s="115"/>
      <c r="J263" s="48"/>
    </row>
    <row r="264" spans="1:10" s="52" customFormat="1" x14ac:dyDescent="0.25">
      <c r="A264" s="25"/>
      <c r="B264" s="25"/>
      <c r="C264" s="30" t="s">
        <v>51</v>
      </c>
      <c r="D264" s="31"/>
      <c r="E264" s="32"/>
      <c r="F264" s="32"/>
      <c r="G264" s="32"/>
      <c r="H264" s="32"/>
      <c r="I264" s="31">
        <f>SUM(I260:I263)</f>
        <v>49</v>
      </c>
      <c r="J264" s="20" t="s">
        <v>49</v>
      </c>
    </row>
    <row r="265" spans="1:10" s="52" customFormat="1" x14ac:dyDescent="0.25">
      <c r="A265" s="25"/>
      <c r="B265" s="25"/>
      <c r="C265" s="46"/>
      <c r="D265" s="47"/>
      <c r="E265" s="28"/>
      <c r="F265" s="28"/>
      <c r="G265" s="28"/>
      <c r="H265" s="28"/>
      <c r="I265" s="47"/>
      <c r="J265" s="29"/>
    </row>
    <row r="266" spans="1:10" s="52" customFormat="1" x14ac:dyDescent="0.25">
      <c r="A266" s="113" t="str">
        <f>PLANILHA!C26</f>
        <v>03.02.060</v>
      </c>
      <c r="B266" s="113" t="str">
        <f>PLANILHA!A26</f>
        <v>1.16</v>
      </c>
      <c r="C266" s="55" t="str">
        <f>PLANILHA!D26</f>
        <v>Tombamento mecânico de árvore</v>
      </c>
      <c r="D266" s="26"/>
      <c r="E266" s="26"/>
      <c r="F266" s="26"/>
      <c r="G266" s="26"/>
      <c r="H266" s="26"/>
      <c r="I266" s="26">
        <v>2</v>
      </c>
      <c r="J266" s="48"/>
    </row>
    <row r="267" spans="1:10" s="52" customFormat="1" x14ac:dyDescent="0.25">
      <c r="A267" s="25"/>
      <c r="B267" s="25"/>
      <c r="C267" s="27"/>
      <c r="D267" s="49"/>
      <c r="E267" s="41"/>
      <c r="F267" s="41"/>
      <c r="G267" s="41"/>
      <c r="H267" s="41"/>
      <c r="I267" s="49"/>
      <c r="J267" s="48"/>
    </row>
    <row r="268" spans="1:10" s="52" customFormat="1" x14ac:dyDescent="0.25">
      <c r="A268" s="25"/>
      <c r="B268" s="25"/>
      <c r="C268" s="30" t="s">
        <v>51</v>
      </c>
      <c r="D268" s="31"/>
      <c r="E268" s="32"/>
      <c r="F268" s="32"/>
      <c r="G268" s="32"/>
      <c r="H268" s="32"/>
      <c r="I268" s="31">
        <f>SUM(I266:I267)</f>
        <v>2</v>
      </c>
      <c r="J268" s="20" t="s">
        <v>49</v>
      </c>
    </row>
    <row r="269" spans="1:10" s="52" customFormat="1" ht="15.75" customHeight="1" x14ac:dyDescent="0.25">
      <c r="A269" s="25"/>
      <c r="B269" s="25"/>
      <c r="C269" s="77"/>
      <c r="D269" s="78"/>
      <c r="E269" s="78"/>
      <c r="F269" s="78"/>
      <c r="G269" s="78"/>
      <c r="H269" s="78"/>
      <c r="I269" s="78"/>
      <c r="J269" s="61"/>
    </row>
    <row r="270" spans="1:10" s="52" customFormat="1" ht="41.25" customHeight="1" x14ac:dyDescent="0.25">
      <c r="A270" s="113" t="str">
        <f>PLANILHA!C27</f>
        <v>03.01.230</v>
      </c>
      <c r="B270" s="113" t="str">
        <f>PLANILHA!A27</f>
        <v>1.17</v>
      </c>
      <c r="C270" s="55" t="str">
        <f>PLANILHA!D27</f>
        <v>Demolição de piso em paralelepípedo.</v>
      </c>
      <c r="D270" s="26"/>
      <c r="E270" s="26"/>
      <c r="F270" s="26"/>
      <c r="G270" s="26"/>
      <c r="H270" s="26"/>
      <c r="I270" s="26"/>
      <c r="J270" s="61"/>
    </row>
    <row r="271" spans="1:10" s="52" customFormat="1" ht="15.75" customHeight="1" x14ac:dyDescent="0.25">
      <c r="A271" s="25"/>
      <c r="B271" s="25"/>
      <c r="C271" s="27"/>
      <c r="D271" s="49"/>
      <c r="E271" s="41"/>
      <c r="F271" s="41"/>
      <c r="G271" s="41"/>
      <c r="H271" s="41"/>
      <c r="I271" s="26"/>
      <c r="J271" s="48"/>
    </row>
    <row r="272" spans="1:10" s="112" customFormat="1" ht="24" x14ac:dyDescent="0.25">
      <c r="A272" s="25"/>
      <c r="B272" s="25"/>
      <c r="C272" s="117" t="s">
        <v>246</v>
      </c>
      <c r="D272" s="26"/>
      <c r="E272" s="26"/>
      <c r="F272" s="26"/>
      <c r="G272" s="26"/>
      <c r="H272" s="28"/>
      <c r="I272" s="26"/>
      <c r="J272" s="29"/>
    </row>
    <row r="273" spans="1:10" s="112" customFormat="1" x14ac:dyDescent="0.25">
      <c r="A273" s="25"/>
      <c r="B273" s="25"/>
      <c r="C273" s="111" t="s">
        <v>247</v>
      </c>
      <c r="D273" s="110"/>
      <c r="E273" s="26"/>
      <c r="F273" s="26"/>
      <c r="G273" s="26">
        <v>209.51</v>
      </c>
      <c r="H273" s="26"/>
      <c r="I273" s="38">
        <f>G273</f>
        <v>209.51</v>
      </c>
      <c r="J273" s="29"/>
    </row>
    <row r="274" spans="1:10" s="112" customFormat="1" ht="24.75" customHeight="1" x14ac:dyDescent="0.25">
      <c r="A274" s="25"/>
      <c r="B274" s="25"/>
      <c r="C274" s="117" t="s">
        <v>252</v>
      </c>
      <c r="D274" s="28"/>
      <c r="E274" s="28"/>
      <c r="F274" s="28"/>
      <c r="G274" s="28"/>
      <c r="H274" s="28"/>
      <c r="I274" s="26"/>
      <c r="J274" s="29"/>
    </row>
    <row r="275" spans="1:10" x14ac:dyDescent="0.25">
      <c r="A275" s="25"/>
      <c r="B275" s="25"/>
      <c r="C275" s="27" t="s">
        <v>251</v>
      </c>
      <c r="D275" s="110"/>
      <c r="E275" s="41"/>
      <c r="F275" s="26"/>
      <c r="G275" s="41">
        <v>22.36</v>
      </c>
      <c r="H275" s="41"/>
      <c r="I275" s="42">
        <f>G275</f>
        <v>22.36</v>
      </c>
      <c r="J275" s="29"/>
    </row>
    <row r="276" spans="1:10" x14ac:dyDescent="0.25">
      <c r="A276" s="25"/>
      <c r="B276" s="25"/>
      <c r="C276" s="27" t="s">
        <v>253</v>
      </c>
      <c r="D276" s="110"/>
      <c r="E276" s="41"/>
      <c r="F276" s="26"/>
      <c r="G276" s="41">
        <v>21</v>
      </c>
      <c r="H276" s="41"/>
      <c r="I276" s="42">
        <f>G276</f>
        <v>21</v>
      </c>
      <c r="J276" s="29"/>
    </row>
    <row r="277" spans="1:10" s="52" customFormat="1" ht="15.75" customHeight="1" x14ac:dyDescent="0.25">
      <c r="A277" s="25"/>
      <c r="B277" s="25"/>
      <c r="C277" s="27"/>
      <c r="D277" s="49"/>
      <c r="E277" s="41"/>
      <c r="F277" s="41"/>
      <c r="G277" s="41"/>
      <c r="H277" s="41"/>
      <c r="I277" s="26">
        <v>20</v>
      </c>
      <c r="J277" s="48"/>
    </row>
    <row r="278" spans="1:10" s="52" customFormat="1" ht="15.75" customHeight="1" x14ac:dyDescent="0.25">
      <c r="A278" s="25"/>
      <c r="B278" s="25"/>
      <c r="C278" s="30" t="s">
        <v>51</v>
      </c>
      <c r="D278" s="31"/>
      <c r="E278" s="32"/>
      <c r="F278" s="32"/>
      <c r="G278" s="32"/>
      <c r="H278" s="32"/>
      <c r="I278" s="31">
        <f>SUM(I270:I277)</f>
        <v>272.87</v>
      </c>
      <c r="J278" s="20" t="s">
        <v>53</v>
      </c>
    </row>
    <row r="279" spans="1:10" s="52" customFormat="1" x14ac:dyDescent="0.25">
      <c r="A279" s="25"/>
      <c r="B279" s="25"/>
      <c r="C279" s="46"/>
      <c r="D279" s="47"/>
      <c r="E279" s="28"/>
      <c r="F279" s="28"/>
      <c r="G279" s="28"/>
      <c r="H279" s="28"/>
      <c r="I279" s="47"/>
      <c r="J279" s="61"/>
    </row>
    <row r="280" spans="1:10" s="112" customFormat="1" ht="46.5" customHeight="1" x14ac:dyDescent="0.25">
      <c r="A280" s="113" t="str">
        <f>PLANILHA!C28</f>
        <v>04.02.160</v>
      </c>
      <c r="B280" s="113" t="str">
        <f>PLANILHA!A28</f>
        <v>1.18</v>
      </c>
      <c r="C280" s="114" t="str">
        <f>PLANILHA!D28</f>
        <v xml:space="preserve">Transporte com carro de mao de areia, entu- 
lho ou terra ate 100m.
</v>
      </c>
      <c r="D280" s="26"/>
      <c r="E280" s="26"/>
      <c r="F280" s="26"/>
      <c r="G280" s="26"/>
      <c r="H280" s="26"/>
      <c r="I280" s="26"/>
      <c r="J280" s="48"/>
    </row>
    <row r="281" spans="1:10" s="112" customFormat="1" ht="25.5" x14ac:dyDescent="0.25">
      <c r="A281" s="25"/>
      <c r="B281" s="25"/>
      <c r="C281" s="89" t="s">
        <v>71</v>
      </c>
      <c r="D281" s="26"/>
      <c r="E281" s="26"/>
      <c r="F281" s="26"/>
      <c r="G281" s="26">
        <v>100.87</v>
      </c>
      <c r="H281" s="503">
        <v>0.5</v>
      </c>
      <c r="I281" s="26">
        <f>G281*H281</f>
        <v>50.435000000000002</v>
      </c>
      <c r="J281" s="29"/>
    </row>
    <row r="282" spans="1:10" s="112" customFormat="1" ht="38.25" x14ac:dyDescent="0.25">
      <c r="A282" s="25"/>
      <c r="B282" s="25"/>
      <c r="C282" s="55" t="s">
        <v>72</v>
      </c>
      <c r="D282" s="110"/>
      <c r="E282" s="26"/>
      <c r="F282" s="26">
        <v>0.1</v>
      </c>
      <c r="G282" s="26">
        <v>529.55999999999995</v>
      </c>
      <c r="H282" s="26"/>
      <c r="I282" s="26">
        <f>G282*F282</f>
        <v>52.955999999999996</v>
      </c>
      <c r="J282" s="29"/>
    </row>
    <row r="283" spans="1:10" s="112" customFormat="1" x14ac:dyDescent="0.25">
      <c r="A283" s="25"/>
      <c r="B283" s="25"/>
      <c r="C283" s="89" t="s">
        <v>55</v>
      </c>
      <c r="D283" s="110"/>
      <c r="E283" s="26"/>
      <c r="F283" s="26">
        <v>0.1</v>
      </c>
      <c r="G283" s="26">
        <v>1447.1691000000001</v>
      </c>
      <c r="H283" s="26"/>
      <c r="I283" s="26">
        <f t="shared" ref="I283:I284" si="29">G283*F283</f>
        <v>144.71691000000001</v>
      </c>
      <c r="J283" s="29"/>
    </row>
    <row r="284" spans="1:10" s="112" customFormat="1" ht="38.25" x14ac:dyDescent="0.25">
      <c r="A284" s="25"/>
      <c r="B284" s="25"/>
      <c r="C284" s="91" t="s">
        <v>106</v>
      </c>
      <c r="D284" s="110"/>
      <c r="E284" s="26"/>
      <c r="F284" s="26">
        <v>0.05</v>
      </c>
      <c r="G284" s="26">
        <v>610.31999999999994</v>
      </c>
      <c r="H284" s="26"/>
      <c r="I284" s="26">
        <f t="shared" si="29"/>
        <v>30.515999999999998</v>
      </c>
      <c r="J284" s="29"/>
    </row>
    <row r="285" spans="1:10" s="112" customFormat="1" x14ac:dyDescent="0.25">
      <c r="A285" s="25"/>
      <c r="B285" s="25"/>
      <c r="C285" s="55" t="s">
        <v>56</v>
      </c>
      <c r="D285" s="110"/>
      <c r="E285" s="26"/>
      <c r="F285" s="26"/>
      <c r="G285" s="26">
        <v>3</v>
      </c>
      <c r="H285" s="26">
        <v>0.5</v>
      </c>
      <c r="I285" s="38"/>
      <c r="J285" s="29"/>
    </row>
    <row r="286" spans="1:10" s="112" customFormat="1" ht="25.5" x14ac:dyDescent="0.25">
      <c r="A286" s="25"/>
      <c r="B286" s="25"/>
      <c r="C286" s="55" t="s">
        <v>364</v>
      </c>
      <c r="D286" s="110"/>
      <c r="E286" s="26"/>
      <c r="F286" s="26"/>
      <c r="G286" s="90">
        <v>526.69499999999994</v>
      </c>
      <c r="H286" s="26">
        <v>0.5</v>
      </c>
      <c r="I286" s="38"/>
      <c r="J286" s="29"/>
    </row>
    <row r="287" spans="1:10" s="112" customFormat="1" x14ac:dyDescent="0.25">
      <c r="A287" s="25"/>
      <c r="B287" s="25"/>
      <c r="C287" s="55" t="s">
        <v>103</v>
      </c>
      <c r="D287" s="110">
        <v>909.07</v>
      </c>
      <c r="E287" s="26">
        <v>0.15</v>
      </c>
      <c r="F287" s="26">
        <v>0.45</v>
      </c>
      <c r="G287" s="26"/>
      <c r="H287" s="26"/>
      <c r="I287" s="38">
        <f>D287*E287*F287</f>
        <v>61.362225000000002</v>
      </c>
      <c r="J287" s="29"/>
    </row>
    <row r="288" spans="1:10" s="112" customFormat="1" ht="25.5" x14ac:dyDescent="0.25">
      <c r="A288" s="25"/>
      <c r="B288" s="25"/>
      <c r="C288" s="55" t="s">
        <v>108</v>
      </c>
      <c r="D288" s="110"/>
      <c r="E288" s="26"/>
      <c r="F288" s="26">
        <v>0.1</v>
      </c>
      <c r="G288" s="26">
        <v>761.68</v>
      </c>
      <c r="H288" s="26"/>
      <c r="I288" s="38">
        <f>G288*F288</f>
        <v>76.167999999999992</v>
      </c>
      <c r="J288" s="29"/>
    </row>
    <row r="289" spans="1:10" s="112" customFormat="1" x14ac:dyDescent="0.25">
      <c r="A289" s="25"/>
      <c r="B289" s="25"/>
      <c r="C289" s="55" t="s">
        <v>387</v>
      </c>
      <c r="D289" s="110"/>
      <c r="E289" s="26">
        <v>0.15</v>
      </c>
      <c r="F289" s="26">
        <v>1.2</v>
      </c>
      <c r="G289" s="26"/>
      <c r="H289" s="26">
        <v>7.84</v>
      </c>
      <c r="I289" s="38">
        <f>H289*F289*E289</f>
        <v>1.4111999999999998</v>
      </c>
      <c r="J289" s="29"/>
    </row>
    <row r="290" spans="1:10" s="112" customFormat="1" x14ac:dyDescent="0.25">
      <c r="A290" s="25"/>
      <c r="B290" s="25"/>
      <c r="C290" s="55" t="s">
        <v>386</v>
      </c>
      <c r="D290" s="110"/>
      <c r="E290" s="26"/>
      <c r="F290" s="26">
        <v>0.1</v>
      </c>
      <c r="G290" s="26">
        <f>I278</f>
        <v>272.87</v>
      </c>
      <c r="H290" s="26"/>
      <c r="I290" s="38">
        <f>G290*F290</f>
        <v>27.287000000000003</v>
      </c>
      <c r="J290" s="29"/>
    </row>
    <row r="291" spans="1:10" s="52" customFormat="1" x14ac:dyDescent="0.25">
      <c r="A291" s="25"/>
      <c r="B291" s="25"/>
      <c r="C291" s="30" t="s">
        <v>51</v>
      </c>
      <c r="D291" s="31"/>
      <c r="E291" s="32"/>
      <c r="F291" s="32"/>
      <c r="G291" s="32"/>
      <c r="H291" s="32"/>
      <c r="I291" s="31">
        <f>SUM(I280:I290)</f>
        <v>444.85233500000004</v>
      </c>
      <c r="J291" s="20" t="s">
        <v>120</v>
      </c>
    </row>
    <row r="292" spans="1:10" s="52" customFormat="1" x14ac:dyDescent="0.25">
      <c r="A292" s="25"/>
      <c r="B292" s="25"/>
      <c r="C292" s="30" t="s">
        <v>354</v>
      </c>
      <c r="D292" s="31"/>
      <c r="E292" s="32"/>
      <c r="F292" s="32"/>
      <c r="G292" s="32"/>
      <c r="H292" s="32"/>
      <c r="I292" s="31">
        <f>I291*1.3</f>
        <v>578.30803550000007</v>
      </c>
      <c r="J292" s="20" t="s">
        <v>120</v>
      </c>
    </row>
    <row r="293" spans="1:10" s="52" customFormat="1" x14ac:dyDescent="0.25">
      <c r="A293" s="25"/>
      <c r="B293" s="25"/>
      <c r="C293" s="46"/>
      <c r="D293" s="47"/>
      <c r="E293" s="28"/>
      <c r="F293" s="28"/>
      <c r="G293" s="28"/>
      <c r="H293" s="28"/>
      <c r="I293" s="47"/>
      <c r="J293" s="61"/>
    </row>
    <row r="294" spans="1:10" s="52" customFormat="1" ht="41.25" customHeight="1" x14ac:dyDescent="0.25">
      <c r="A294" s="113" t="str">
        <f>PLANILHA!A29</f>
        <v>1.19</v>
      </c>
      <c r="B294" s="113" t="str">
        <f>PLANILHA!C29</f>
        <v>04.03.180</v>
      </c>
      <c r="C294" s="55" t="str">
        <f>PLANILHA!D29</f>
        <v>Remocao de metralha em caminhao basculante, d.m.t 12 km, inclusive carga e descarga mecanica.</v>
      </c>
      <c r="D294" s="26"/>
      <c r="E294" s="26"/>
      <c r="F294" s="26"/>
      <c r="G294" s="26"/>
      <c r="H294" s="26"/>
      <c r="I294" s="26"/>
      <c r="J294" s="61"/>
    </row>
    <row r="295" spans="1:10" s="112" customFormat="1" ht="25.5" x14ac:dyDescent="0.25">
      <c r="A295" s="25"/>
      <c r="B295" s="25"/>
      <c r="C295" s="89" t="s">
        <v>71</v>
      </c>
      <c r="D295" s="26"/>
      <c r="E295" s="26"/>
      <c r="F295" s="26"/>
      <c r="G295" s="26">
        <v>100.87</v>
      </c>
      <c r="H295" s="28">
        <v>0.5</v>
      </c>
      <c r="I295" s="26">
        <f>G295*H295</f>
        <v>50.435000000000002</v>
      </c>
      <c r="J295" s="29"/>
    </row>
    <row r="296" spans="1:10" s="112" customFormat="1" ht="38.25" x14ac:dyDescent="0.25">
      <c r="A296" s="25"/>
      <c r="B296" s="25"/>
      <c r="C296" s="55" t="s">
        <v>72</v>
      </c>
      <c r="D296" s="110"/>
      <c r="E296" s="26"/>
      <c r="F296" s="26">
        <v>0.1</v>
      </c>
      <c r="G296" s="26">
        <v>529.55999999999995</v>
      </c>
      <c r="H296" s="26"/>
      <c r="I296" s="26">
        <f>G296*F296</f>
        <v>52.955999999999996</v>
      </c>
      <c r="J296" s="29"/>
    </row>
    <row r="297" spans="1:10" s="112" customFormat="1" x14ac:dyDescent="0.25">
      <c r="A297" s="25"/>
      <c r="B297" s="25"/>
      <c r="C297" s="89" t="s">
        <v>55</v>
      </c>
      <c r="D297" s="110"/>
      <c r="E297" s="26"/>
      <c r="F297" s="26">
        <v>0.1</v>
      </c>
      <c r="G297" s="26">
        <v>1447.1691000000001</v>
      </c>
      <c r="H297" s="26"/>
      <c r="I297" s="26">
        <f t="shared" ref="I297:I298" si="30">G297*F297</f>
        <v>144.71691000000001</v>
      </c>
      <c r="J297" s="29"/>
    </row>
    <row r="298" spans="1:10" s="112" customFormat="1" ht="38.25" x14ac:dyDescent="0.25">
      <c r="A298" s="25"/>
      <c r="B298" s="25"/>
      <c r="C298" s="91" t="s">
        <v>106</v>
      </c>
      <c r="D298" s="110"/>
      <c r="E298" s="26"/>
      <c r="F298" s="26">
        <v>0.05</v>
      </c>
      <c r="G298" s="26">
        <v>610.31999999999994</v>
      </c>
      <c r="H298" s="26"/>
      <c r="I298" s="26">
        <f t="shared" si="30"/>
        <v>30.515999999999998</v>
      </c>
      <c r="J298" s="29"/>
    </row>
    <row r="299" spans="1:10" s="112" customFormat="1" x14ac:dyDescent="0.25">
      <c r="A299" s="25"/>
      <c r="B299" s="25"/>
      <c r="C299" s="55" t="s">
        <v>56</v>
      </c>
      <c r="D299" s="110"/>
      <c r="E299" s="26"/>
      <c r="F299" s="26"/>
      <c r="G299" s="26">
        <v>3</v>
      </c>
      <c r="H299" s="26">
        <v>0.5</v>
      </c>
      <c r="I299" s="38"/>
      <c r="J299" s="29"/>
    </row>
    <row r="300" spans="1:10" s="112" customFormat="1" ht="25.5" x14ac:dyDescent="0.25">
      <c r="A300" s="25"/>
      <c r="B300" s="25"/>
      <c r="C300" s="55" t="s">
        <v>364</v>
      </c>
      <c r="D300" s="110"/>
      <c r="E300" s="26"/>
      <c r="F300" s="26"/>
      <c r="G300" s="90">
        <v>526.69499999999994</v>
      </c>
      <c r="H300" s="26">
        <v>0.5</v>
      </c>
      <c r="I300" s="38"/>
      <c r="J300" s="29"/>
    </row>
    <row r="301" spans="1:10" s="112" customFormat="1" x14ac:dyDescent="0.25">
      <c r="A301" s="25"/>
      <c r="B301" s="25"/>
      <c r="C301" s="55" t="s">
        <v>103</v>
      </c>
      <c r="D301" s="110">
        <v>909.07</v>
      </c>
      <c r="E301" s="26">
        <v>0.15</v>
      </c>
      <c r="F301" s="26">
        <v>0.45</v>
      </c>
      <c r="G301" s="26"/>
      <c r="H301" s="26"/>
      <c r="I301" s="38">
        <f>D301*E301*F301</f>
        <v>61.362225000000002</v>
      </c>
      <c r="J301" s="29"/>
    </row>
    <row r="302" spans="1:10" s="112" customFormat="1" ht="25.5" x14ac:dyDescent="0.25">
      <c r="A302" s="25"/>
      <c r="B302" s="25"/>
      <c r="C302" s="55" t="s">
        <v>108</v>
      </c>
      <c r="D302" s="110"/>
      <c r="E302" s="26"/>
      <c r="F302" s="26">
        <v>0.1</v>
      </c>
      <c r="G302" s="26">
        <v>761.68000000000006</v>
      </c>
      <c r="H302" s="26"/>
      <c r="I302" s="38">
        <f>G302*F302</f>
        <v>76.168000000000006</v>
      </c>
      <c r="J302" s="29"/>
    </row>
    <row r="303" spans="1:10" s="112" customFormat="1" x14ac:dyDescent="0.25">
      <c r="A303" s="25"/>
      <c r="B303" s="25"/>
      <c r="C303" s="55" t="str">
        <f>C289</f>
        <v>Demolição de frade em concreto armado.</v>
      </c>
      <c r="D303" s="110"/>
      <c r="E303" s="26">
        <v>0.15</v>
      </c>
      <c r="F303" s="26">
        <v>1.2</v>
      </c>
      <c r="G303" s="26"/>
      <c r="H303" s="26">
        <v>7.84</v>
      </c>
      <c r="I303" s="38">
        <f>H303*F303*E303</f>
        <v>1.4111999999999998</v>
      </c>
      <c r="J303" s="29"/>
    </row>
    <row r="304" spans="1:10" s="52" customFormat="1" ht="15.75" customHeight="1" x14ac:dyDescent="0.25">
      <c r="A304" s="25"/>
      <c r="B304" s="25"/>
      <c r="C304" s="27" t="str">
        <f>C290</f>
        <v>Demolição de piso em paralelo.</v>
      </c>
      <c r="D304" s="49"/>
      <c r="E304" s="41"/>
      <c r="F304" s="41">
        <v>0.1</v>
      </c>
      <c r="G304" s="41">
        <f>G290</f>
        <v>272.87</v>
      </c>
      <c r="H304" s="41"/>
      <c r="I304" s="26">
        <f>G304*F304</f>
        <v>27.287000000000003</v>
      </c>
      <c r="J304" s="48"/>
    </row>
    <row r="305" spans="1:10" s="52" customFormat="1" ht="15.75" customHeight="1" x14ac:dyDescent="0.25">
      <c r="A305" s="25"/>
      <c r="B305" s="25"/>
      <c r="C305" s="30" t="s">
        <v>51</v>
      </c>
      <c r="D305" s="31"/>
      <c r="E305" s="32"/>
      <c r="F305" s="32"/>
      <c r="G305" s="32"/>
      <c r="H305" s="32"/>
      <c r="I305" s="31">
        <f>SUM(I294:I304)</f>
        <v>444.85233500000004</v>
      </c>
      <c r="J305" s="20" t="s">
        <v>120</v>
      </c>
    </row>
    <row r="306" spans="1:10" s="52" customFormat="1" ht="15.75" customHeight="1" x14ac:dyDescent="0.25">
      <c r="A306" s="25"/>
      <c r="B306" s="25"/>
      <c r="C306" s="30" t="s">
        <v>354</v>
      </c>
      <c r="D306" s="31"/>
      <c r="E306" s="32"/>
      <c r="F306" s="32"/>
      <c r="G306" s="32"/>
      <c r="H306" s="32"/>
      <c r="I306" s="31">
        <f>I305*1.3</f>
        <v>578.30803550000007</v>
      </c>
      <c r="J306" s="20" t="s">
        <v>120</v>
      </c>
    </row>
    <row r="307" spans="1:10" s="52" customFormat="1" x14ac:dyDescent="0.25">
      <c r="A307" s="25"/>
      <c r="B307" s="25"/>
      <c r="C307" s="46"/>
      <c r="D307" s="47"/>
      <c r="E307" s="28"/>
      <c r="F307" s="28"/>
      <c r="G307" s="28"/>
      <c r="H307" s="28"/>
      <c r="I307" s="47"/>
      <c r="J307" s="61"/>
    </row>
    <row r="308" spans="1:10" s="112" customFormat="1" ht="25.5" x14ac:dyDescent="0.25">
      <c r="A308" s="113" t="str">
        <f>PLANILHA!A30</f>
        <v>1.20</v>
      </c>
      <c r="B308" s="113" t="str">
        <f>PLANILHA!A29</f>
        <v>1.19</v>
      </c>
      <c r="C308" s="114" t="str">
        <f>PLANILHA!D30</f>
        <v>Transporte de poste, para uma distância média de 2km</v>
      </c>
      <c r="D308" s="26"/>
      <c r="E308" s="26"/>
      <c r="F308" s="26"/>
      <c r="G308" s="26"/>
      <c r="H308" s="26"/>
      <c r="I308" s="26"/>
      <c r="J308" s="48"/>
    </row>
    <row r="309" spans="1:10" s="112" customFormat="1" x14ac:dyDescent="0.25">
      <c r="A309" s="25"/>
      <c r="B309" s="25"/>
      <c r="C309" s="111" t="s">
        <v>64</v>
      </c>
      <c r="D309" s="115"/>
      <c r="E309" s="26"/>
      <c r="F309" s="26"/>
      <c r="G309" s="26"/>
      <c r="H309" s="26"/>
      <c r="I309" s="115"/>
      <c r="J309" s="48"/>
    </row>
    <row r="310" spans="1:10" s="52" customFormat="1" x14ac:dyDescent="0.25">
      <c r="A310" s="25"/>
      <c r="B310" s="25"/>
      <c r="C310" s="27"/>
      <c r="D310" s="49"/>
      <c r="E310" s="41"/>
      <c r="F310" s="41"/>
      <c r="G310" s="41"/>
      <c r="H310" s="41"/>
      <c r="I310" s="49">
        <v>3</v>
      </c>
      <c r="J310" s="48"/>
    </row>
    <row r="311" spans="1:10" s="52" customFormat="1" x14ac:dyDescent="0.25">
      <c r="A311" s="25"/>
      <c r="B311" s="25"/>
      <c r="C311" s="27"/>
      <c r="D311" s="49"/>
      <c r="E311" s="41"/>
      <c r="F311" s="41"/>
      <c r="G311" s="41"/>
      <c r="H311" s="41"/>
      <c r="I311" s="49"/>
      <c r="J311" s="48"/>
    </row>
    <row r="312" spans="1:10" s="52" customFormat="1" x14ac:dyDescent="0.25">
      <c r="A312" s="25"/>
      <c r="B312" s="25"/>
      <c r="C312" s="30" t="s">
        <v>51</v>
      </c>
      <c r="D312" s="31"/>
      <c r="E312" s="32"/>
      <c r="F312" s="32"/>
      <c r="G312" s="32"/>
      <c r="H312" s="32"/>
      <c r="I312" s="31">
        <f>SUM(I308:I311)</f>
        <v>3</v>
      </c>
      <c r="J312" s="20" t="s">
        <v>49</v>
      </c>
    </row>
    <row r="313" spans="1:10" x14ac:dyDescent="0.25">
      <c r="A313" s="539" t="s">
        <v>60</v>
      </c>
      <c r="B313" s="540"/>
      <c r="C313" s="541"/>
      <c r="D313" s="541"/>
      <c r="E313" s="541"/>
      <c r="F313" s="541"/>
      <c r="G313" s="541"/>
      <c r="H313" s="541"/>
      <c r="I313" s="541"/>
      <c r="J313" s="542"/>
    </row>
    <row r="314" spans="1:10" x14ac:dyDescent="0.25">
      <c r="A314" s="73"/>
      <c r="B314" s="73"/>
      <c r="C314" s="74"/>
      <c r="D314" s="74"/>
      <c r="E314" s="74"/>
      <c r="F314" s="74"/>
      <c r="G314" s="74"/>
      <c r="H314" s="74"/>
      <c r="I314" s="74"/>
      <c r="J314" s="74"/>
    </row>
    <row r="315" spans="1:10" ht="38.25" x14ac:dyDescent="0.25">
      <c r="A315" s="313" t="str">
        <f>PLANILHA!C32</f>
        <v>73965/010</v>
      </c>
      <c r="B315" s="313" t="str">
        <f>PLANILHA!A32</f>
        <v>2.1</v>
      </c>
      <c r="C315" s="55" t="str">
        <f>PLANILHA!D32</f>
        <v>Escavaçao manual de vala em material de 1A categoria ate 1,5m excluindo esgotamento/escoramento</v>
      </c>
      <c r="D315" s="78"/>
      <c r="E315" s="78"/>
      <c r="F315" s="78"/>
      <c r="G315" s="78"/>
      <c r="H315" s="78"/>
      <c r="I315" s="78"/>
      <c r="J315" s="48"/>
    </row>
    <row r="316" spans="1:10" ht="24" x14ac:dyDescent="0.25">
      <c r="A316" s="25"/>
      <c r="B316" s="25"/>
      <c r="C316" s="27" t="s">
        <v>327</v>
      </c>
      <c r="D316" s="49"/>
      <c r="E316" s="41"/>
      <c r="F316" s="41">
        <v>0.1</v>
      </c>
      <c r="G316" s="41">
        <v>3072.04</v>
      </c>
      <c r="H316" s="41"/>
      <c r="I316" s="49">
        <f>G316*F316</f>
        <v>307.20400000000001</v>
      </c>
      <c r="J316" s="48"/>
    </row>
    <row r="317" spans="1:10" x14ac:dyDescent="0.25">
      <c r="A317" s="25"/>
      <c r="B317" s="25"/>
      <c r="C317" s="27"/>
      <c r="D317" s="49"/>
      <c r="E317" s="41"/>
      <c r="F317" s="41"/>
      <c r="G317" s="41"/>
      <c r="H317" s="41"/>
      <c r="I317" s="49">
        <f t="shared" ref="I317" si="31">PRODUCT(D317:H317)</f>
        <v>0</v>
      </c>
      <c r="J317" s="48"/>
    </row>
    <row r="318" spans="1:10" x14ac:dyDescent="0.25">
      <c r="A318" s="25"/>
      <c r="B318" s="25"/>
      <c r="C318" s="27"/>
      <c r="D318" s="49"/>
      <c r="E318" s="41"/>
      <c r="F318" s="41"/>
      <c r="G318" s="41"/>
      <c r="H318" s="41"/>
      <c r="I318" s="49"/>
      <c r="J318" s="48"/>
    </row>
    <row r="319" spans="1:10" x14ac:dyDescent="0.25">
      <c r="A319" s="25"/>
      <c r="B319" s="25"/>
      <c r="C319" s="30" t="s">
        <v>51</v>
      </c>
      <c r="D319" s="31"/>
      <c r="E319" s="32"/>
      <c r="F319" s="32"/>
      <c r="G319" s="32"/>
      <c r="H319" s="32"/>
      <c r="I319" s="31">
        <f>SUM(I316:I318)</f>
        <v>307.20400000000001</v>
      </c>
      <c r="J319" s="20" t="s">
        <v>120</v>
      </c>
    </row>
    <row r="320" spans="1:10" ht="25.5" x14ac:dyDescent="0.25">
      <c r="A320" s="313" t="str">
        <f>PLANILHA!C33</f>
        <v>73904/001</v>
      </c>
      <c r="B320" s="313" t="str">
        <f>PLANILHA!A33</f>
        <v>2.2</v>
      </c>
      <c r="C320" s="55" t="str">
        <f>PLANILHA!D33</f>
        <v>Aterro apiloado(manual) em camadas de 20 cm . ( Calçadas projetadas)</v>
      </c>
      <c r="D320" s="78"/>
      <c r="E320" s="78"/>
      <c r="F320" s="78"/>
      <c r="G320" s="78"/>
      <c r="H320" s="78"/>
      <c r="I320" s="78"/>
      <c r="J320" s="48"/>
    </row>
    <row r="321" spans="1:10" ht="24" x14ac:dyDescent="0.25">
      <c r="A321" s="25"/>
      <c r="B321" s="25"/>
      <c r="C321" s="27" t="s">
        <v>332</v>
      </c>
      <c r="D321" s="49"/>
      <c r="E321" s="41"/>
      <c r="F321" s="41">
        <v>0.1</v>
      </c>
      <c r="G321" s="41">
        <v>3072.04</v>
      </c>
      <c r="H321" s="41"/>
      <c r="I321" s="49">
        <f>PRODUCT(D321:H321)</f>
        <v>307.20400000000001</v>
      </c>
      <c r="J321" s="48"/>
    </row>
    <row r="322" spans="1:10" x14ac:dyDescent="0.25">
      <c r="A322" s="25"/>
      <c r="B322" s="25"/>
      <c r="C322" s="27"/>
      <c r="D322" s="49"/>
      <c r="E322" s="41"/>
      <c r="F322" s="41"/>
      <c r="G322" s="41"/>
      <c r="H322" s="41"/>
      <c r="I322" s="49">
        <f t="shared" ref="I322" si="32">PRODUCT(D322:H322)</f>
        <v>0</v>
      </c>
      <c r="J322" s="48"/>
    </row>
    <row r="323" spans="1:10" x14ac:dyDescent="0.25">
      <c r="A323" s="25"/>
      <c r="B323" s="25"/>
      <c r="C323" s="27"/>
      <c r="D323" s="49"/>
      <c r="E323" s="41"/>
      <c r="F323" s="41"/>
      <c r="G323" s="41"/>
      <c r="H323" s="41"/>
      <c r="I323" s="49"/>
      <c r="J323" s="48"/>
    </row>
    <row r="324" spans="1:10" x14ac:dyDescent="0.25">
      <c r="A324" s="25"/>
      <c r="B324" s="25"/>
      <c r="C324" s="30" t="s">
        <v>51</v>
      </c>
      <c r="D324" s="31"/>
      <c r="E324" s="32"/>
      <c r="F324" s="32"/>
      <c r="G324" s="32"/>
      <c r="H324" s="32"/>
      <c r="I324" s="31">
        <f>SUM(I321:I323)</f>
        <v>307.20400000000001</v>
      </c>
      <c r="J324" s="20" t="s">
        <v>120</v>
      </c>
    </row>
    <row r="325" spans="1:10" x14ac:dyDescent="0.25">
      <c r="A325" s="314"/>
      <c r="B325" s="314"/>
      <c r="C325" s="56"/>
      <c r="D325" s="56"/>
      <c r="E325" s="56"/>
      <c r="F325" s="56"/>
      <c r="G325" s="56"/>
      <c r="H325" s="56"/>
      <c r="I325" s="56"/>
      <c r="J325" s="56"/>
    </row>
    <row r="326" spans="1:10" x14ac:dyDescent="0.25">
      <c r="A326" s="25"/>
      <c r="B326" s="25"/>
      <c r="C326" s="46"/>
      <c r="D326" s="47"/>
      <c r="E326" s="28"/>
      <c r="F326" s="28"/>
      <c r="G326" s="28"/>
      <c r="H326" s="28"/>
      <c r="I326" s="47"/>
      <c r="J326" s="29"/>
    </row>
    <row r="327" spans="1:10" ht="48.75" customHeight="1" x14ac:dyDescent="0.25">
      <c r="A327" s="313" t="str">
        <f>PLANILHA!C34</f>
        <v>04.03.080</v>
      </c>
      <c r="B327" s="313" t="str">
        <f>PLANILHA!A34</f>
        <v>2.3</v>
      </c>
      <c r="C327" s="107" t="str">
        <f>PLANILHA!D34</f>
        <v xml:space="preserve">Remocao de material de primeira categoria em caminhao carroceria, d.m.t. 12 km, inclusive carga e descarga mecânicas.
</v>
      </c>
      <c r="D327" s="78"/>
      <c r="E327" s="78"/>
      <c r="F327" s="78"/>
      <c r="G327" s="78"/>
      <c r="H327" s="78"/>
      <c r="I327" s="78"/>
      <c r="J327" s="48"/>
    </row>
    <row r="328" spans="1:10" x14ac:dyDescent="0.25">
      <c r="A328" s="25"/>
      <c r="B328" s="25"/>
      <c r="C328" s="27" t="s">
        <v>465</v>
      </c>
      <c r="D328" s="49"/>
      <c r="E328" s="41"/>
      <c r="F328" s="41"/>
      <c r="G328" s="41"/>
      <c r="H328" s="41"/>
      <c r="I328" s="49">
        <f>I319</f>
        <v>307.20400000000001</v>
      </c>
      <c r="J328" s="48"/>
    </row>
    <row r="329" spans="1:10" x14ac:dyDescent="0.25">
      <c r="A329" s="25"/>
      <c r="B329" s="25"/>
      <c r="C329" s="27"/>
      <c r="D329" s="49"/>
      <c r="E329" s="41"/>
      <c r="F329" s="41"/>
      <c r="G329" s="41"/>
      <c r="H329" s="41"/>
      <c r="I329" s="49">
        <f t="shared" ref="I329" si="33">PRODUCT(D329:H329)</f>
        <v>0</v>
      </c>
      <c r="J329" s="48"/>
    </row>
    <row r="330" spans="1:10" x14ac:dyDescent="0.25">
      <c r="A330" s="25"/>
      <c r="B330" s="25"/>
      <c r="C330" s="27"/>
      <c r="D330" s="49"/>
      <c r="E330" s="41"/>
      <c r="F330" s="41"/>
      <c r="G330" s="41"/>
      <c r="H330" s="41"/>
      <c r="I330" s="49"/>
      <c r="J330" s="48"/>
    </row>
    <row r="331" spans="1:10" x14ac:dyDescent="0.25">
      <c r="A331" s="25"/>
      <c r="B331" s="25"/>
      <c r="C331" s="30" t="s">
        <v>51</v>
      </c>
      <c r="D331" s="31"/>
      <c r="E331" s="32"/>
      <c r="F331" s="32"/>
      <c r="G331" s="32"/>
      <c r="H331" s="32"/>
      <c r="I331" s="31">
        <f>SUM(I328:I330)</f>
        <v>307.20400000000001</v>
      </c>
      <c r="J331" s="20" t="s">
        <v>120</v>
      </c>
    </row>
    <row r="332" spans="1:10" x14ac:dyDescent="0.25">
      <c r="A332" s="25"/>
      <c r="B332" s="25"/>
      <c r="C332" s="30" t="s">
        <v>354</v>
      </c>
      <c r="D332" s="31"/>
      <c r="E332" s="32"/>
      <c r="F332" s="32"/>
      <c r="G332" s="32"/>
      <c r="H332" s="32"/>
      <c r="I332" s="31">
        <f>I331*1.3</f>
        <v>399.36520000000002</v>
      </c>
      <c r="J332" s="20" t="s">
        <v>120</v>
      </c>
    </row>
    <row r="333" spans="1:10" x14ac:dyDescent="0.25">
      <c r="A333" s="315"/>
      <c r="B333" s="315"/>
      <c r="C333" s="74"/>
      <c r="D333" s="74"/>
      <c r="E333" s="74"/>
      <c r="F333" s="74"/>
      <c r="G333" s="74"/>
      <c r="H333" s="74"/>
      <c r="I333" s="74"/>
      <c r="J333" s="74"/>
    </row>
    <row r="334" spans="1:10" ht="25.5" x14ac:dyDescent="0.25">
      <c r="A334" s="313" t="str">
        <f>PLANILHA!C35</f>
        <v>73907/003</v>
      </c>
      <c r="B334" s="313" t="str">
        <f>PLANILHA!A35</f>
        <v>2.4</v>
      </c>
      <c r="C334" s="55" t="str">
        <f>PLANILHA!D35</f>
        <v>Contrapiso/Lastro de concreto 1:3:6 s/betoneira espessura - 5cm</v>
      </c>
      <c r="D334" s="78"/>
      <c r="E334" s="78"/>
      <c r="F334" s="78"/>
      <c r="G334" s="78"/>
      <c r="H334" s="78"/>
      <c r="I334" s="78"/>
      <c r="J334" s="48"/>
    </row>
    <row r="335" spans="1:10" ht="24" x14ac:dyDescent="0.25">
      <c r="A335" s="25"/>
      <c r="B335" s="25"/>
      <c r="C335" s="27" t="s">
        <v>332</v>
      </c>
      <c r="D335" s="49"/>
      <c r="E335" s="41"/>
      <c r="F335" s="41"/>
      <c r="G335" s="41">
        <v>2072.04</v>
      </c>
      <c r="H335" s="41"/>
      <c r="I335" s="49">
        <f>PRODUCT(D335:H335)</f>
        <v>2072.04</v>
      </c>
      <c r="J335" s="48"/>
    </row>
    <row r="336" spans="1:10" x14ac:dyDescent="0.25">
      <c r="A336" s="25"/>
      <c r="B336" s="25"/>
      <c r="C336" s="27"/>
      <c r="D336" s="49"/>
      <c r="E336" s="41"/>
      <c r="F336" s="41"/>
      <c r="G336" s="41"/>
      <c r="H336" s="41"/>
      <c r="I336" s="49"/>
      <c r="J336" s="48"/>
    </row>
    <row r="337" spans="1:10" x14ac:dyDescent="0.25">
      <c r="A337" s="25"/>
      <c r="B337" s="25"/>
      <c r="C337" s="30" t="s">
        <v>51</v>
      </c>
      <c r="D337" s="31"/>
      <c r="E337" s="32"/>
      <c r="F337" s="32"/>
      <c r="G337" s="32"/>
      <c r="H337" s="32"/>
      <c r="I337" s="31">
        <f>SUM(I335:I336)</f>
        <v>2072.04</v>
      </c>
      <c r="J337" s="20" t="s">
        <v>53</v>
      </c>
    </row>
    <row r="338" spans="1:10" x14ac:dyDescent="0.25">
      <c r="A338" s="25"/>
      <c r="B338" s="25"/>
      <c r="C338" s="46"/>
      <c r="D338" s="47"/>
      <c r="E338" s="28"/>
      <c r="F338" s="28"/>
      <c r="G338" s="28"/>
      <c r="H338" s="28"/>
      <c r="I338" s="47"/>
      <c r="J338" s="29"/>
    </row>
    <row r="339" spans="1:10" x14ac:dyDescent="0.25">
      <c r="A339" s="314"/>
      <c r="B339" s="314"/>
      <c r="C339" s="56"/>
      <c r="D339" s="56"/>
      <c r="E339" s="56"/>
      <c r="F339" s="56"/>
      <c r="G339" s="56"/>
      <c r="H339" s="56"/>
      <c r="I339" s="56"/>
      <c r="J339" s="56"/>
    </row>
    <row r="340" spans="1:10" ht="51" customHeight="1" x14ac:dyDescent="0.25">
      <c r="A340" s="113" t="str">
        <f>PLANILHA!C36</f>
        <v>74235/001</v>
      </c>
      <c r="B340" s="113" t="str">
        <f>PLANILHA!A36</f>
        <v>2.5</v>
      </c>
      <c r="C340" s="55" t="str">
        <f>PLANILHA!D36</f>
        <v>Piso em pedra portuguesa 60% branca 40% preta, assentada em argamassa  traco 1:5 (cimento e saibro), incluso acerto do terreno.</v>
      </c>
      <c r="D340" s="26"/>
      <c r="E340" s="26"/>
      <c r="F340" s="26"/>
      <c r="G340" s="26"/>
      <c r="H340" s="26"/>
      <c r="I340" s="26"/>
      <c r="J340" s="48"/>
    </row>
    <row r="341" spans="1:10" x14ac:dyDescent="0.25">
      <c r="A341" s="25"/>
      <c r="B341" s="25"/>
      <c r="C341" s="27" t="s">
        <v>314</v>
      </c>
      <c r="D341" s="26"/>
      <c r="E341" s="26"/>
      <c r="F341" s="26"/>
      <c r="G341" s="26">
        <v>31.93</v>
      </c>
      <c r="H341" s="41"/>
      <c r="I341" s="26">
        <f t="shared" ref="I341:I351" si="34">PRODUCT(D341:H341)</f>
        <v>31.93</v>
      </c>
      <c r="J341" s="48"/>
    </row>
    <row r="342" spans="1:10" x14ac:dyDescent="0.25">
      <c r="A342" s="25"/>
      <c r="B342" s="25"/>
      <c r="C342" s="27" t="s">
        <v>315</v>
      </c>
      <c r="D342" s="26"/>
      <c r="E342" s="26"/>
      <c r="F342" s="26"/>
      <c r="G342" s="26">
        <v>29.8</v>
      </c>
      <c r="H342" s="41"/>
      <c r="I342" s="26">
        <f t="shared" si="34"/>
        <v>29.8</v>
      </c>
      <c r="J342" s="48"/>
    </row>
    <row r="343" spans="1:10" x14ac:dyDescent="0.25">
      <c r="A343" s="25"/>
      <c r="B343" s="25"/>
      <c r="C343" s="27" t="s">
        <v>316</v>
      </c>
      <c r="D343" s="26"/>
      <c r="E343" s="26"/>
      <c r="F343" s="26"/>
      <c r="G343" s="26">
        <v>211.53</v>
      </c>
      <c r="H343" s="41"/>
      <c r="I343" s="26">
        <f t="shared" si="34"/>
        <v>211.53</v>
      </c>
      <c r="J343" s="48"/>
    </row>
    <row r="344" spans="1:10" x14ac:dyDescent="0.25">
      <c r="A344" s="25"/>
      <c r="B344" s="25"/>
      <c r="C344" s="27" t="s">
        <v>317</v>
      </c>
      <c r="D344" s="26"/>
      <c r="E344" s="26"/>
      <c r="F344" s="26"/>
      <c r="G344" s="26">
        <v>6</v>
      </c>
      <c r="H344" s="41"/>
      <c r="I344" s="26">
        <f t="shared" si="34"/>
        <v>6</v>
      </c>
      <c r="J344" s="48"/>
    </row>
    <row r="345" spans="1:10" x14ac:dyDescent="0.25">
      <c r="A345" s="25"/>
      <c r="B345" s="25"/>
      <c r="C345" s="27" t="s">
        <v>318</v>
      </c>
      <c r="D345" s="26"/>
      <c r="E345" s="26"/>
      <c r="F345" s="26"/>
      <c r="G345" s="26">
        <v>68.86</v>
      </c>
      <c r="H345" s="41"/>
      <c r="I345" s="26">
        <f t="shared" si="34"/>
        <v>68.86</v>
      </c>
      <c r="J345" s="48"/>
    </row>
    <row r="346" spans="1:10" x14ac:dyDescent="0.25">
      <c r="A346" s="25"/>
      <c r="B346" s="25"/>
      <c r="C346" s="27" t="s">
        <v>319</v>
      </c>
      <c r="D346" s="26"/>
      <c r="E346" s="26"/>
      <c r="F346" s="26"/>
      <c r="G346" s="26">
        <v>79.52</v>
      </c>
      <c r="H346" s="41"/>
      <c r="I346" s="26">
        <f t="shared" si="34"/>
        <v>79.52</v>
      </c>
      <c r="J346" s="48"/>
    </row>
    <row r="347" spans="1:10" x14ac:dyDescent="0.25">
      <c r="A347" s="25"/>
      <c r="B347" s="25"/>
      <c r="C347" s="27" t="s">
        <v>320</v>
      </c>
      <c r="D347" s="26"/>
      <c r="E347" s="26"/>
      <c r="F347" s="26"/>
      <c r="G347" s="26">
        <v>125</v>
      </c>
      <c r="H347" s="41"/>
      <c r="I347" s="26">
        <f t="shared" si="34"/>
        <v>125</v>
      </c>
      <c r="J347" s="48"/>
    </row>
    <row r="348" spans="1:10" x14ac:dyDescent="0.25">
      <c r="A348" s="25"/>
      <c r="B348" s="25"/>
      <c r="C348" s="77" t="s">
        <v>321</v>
      </c>
      <c r="D348" s="78"/>
      <c r="E348" s="78"/>
      <c r="F348" s="78"/>
      <c r="G348" s="78">
        <v>108.72</v>
      </c>
      <c r="H348" s="41"/>
      <c r="I348" s="26">
        <f t="shared" si="34"/>
        <v>108.72</v>
      </c>
      <c r="J348" s="48"/>
    </row>
    <row r="349" spans="1:10" x14ac:dyDescent="0.25">
      <c r="A349" s="25"/>
      <c r="B349" s="25"/>
      <c r="C349" s="77" t="s">
        <v>322</v>
      </c>
      <c r="D349" s="78"/>
      <c r="E349" s="78"/>
      <c r="F349" s="78"/>
      <c r="G349" s="78">
        <v>588.4</v>
      </c>
      <c r="H349" s="41"/>
      <c r="I349" s="26">
        <f t="shared" si="34"/>
        <v>588.4</v>
      </c>
      <c r="J349" s="48"/>
    </row>
    <row r="350" spans="1:10" x14ac:dyDescent="0.25">
      <c r="A350" s="25"/>
      <c r="B350" s="25"/>
      <c r="C350" s="77" t="s">
        <v>309</v>
      </c>
      <c r="D350" s="78"/>
      <c r="E350" s="78"/>
      <c r="F350" s="78"/>
      <c r="G350" s="78">
        <v>50.56</v>
      </c>
      <c r="H350" s="41"/>
      <c r="I350" s="26">
        <f t="shared" si="34"/>
        <v>50.56</v>
      </c>
      <c r="J350" s="48"/>
    </row>
    <row r="351" spans="1:10" x14ac:dyDescent="0.25">
      <c r="A351" s="25"/>
      <c r="B351" s="25"/>
      <c r="C351" s="77" t="s">
        <v>311</v>
      </c>
      <c r="D351" s="78"/>
      <c r="E351" s="78"/>
      <c r="F351" s="78"/>
      <c r="G351" s="78">
        <v>232.17</v>
      </c>
      <c r="H351" s="41"/>
      <c r="I351" s="26">
        <f t="shared" si="34"/>
        <v>232.17</v>
      </c>
      <c r="J351" s="48"/>
    </row>
    <row r="352" spans="1:10" x14ac:dyDescent="0.25">
      <c r="A352" s="25"/>
      <c r="B352" s="25"/>
      <c r="C352" s="27" t="s">
        <v>323</v>
      </c>
      <c r="D352" s="26"/>
      <c r="E352" s="26"/>
      <c r="F352" s="26"/>
      <c r="G352" s="26"/>
      <c r="H352" s="41"/>
      <c r="I352" s="26">
        <f>PRODUCT(D352:H352)</f>
        <v>0</v>
      </c>
      <c r="J352" s="48"/>
    </row>
    <row r="353" spans="1:10" ht="17.100000000000001" customHeight="1" x14ac:dyDescent="0.25">
      <c r="A353" s="25"/>
      <c r="B353" s="25"/>
      <c r="C353" s="27" t="s">
        <v>88</v>
      </c>
      <c r="D353" s="26"/>
      <c r="E353" s="26"/>
      <c r="F353" s="26"/>
      <c r="G353" s="26">
        <v>113.21599999999999</v>
      </c>
      <c r="H353" s="41"/>
      <c r="I353" s="26">
        <f t="shared" ref="I353:I357" si="35">PRODUCT(D353:H353)</f>
        <v>113.21599999999999</v>
      </c>
      <c r="J353" s="48"/>
    </row>
    <row r="354" spans="1:10" ht="17.100000000000001" customHeight="1" x14ac:dyDescent="0.25">
      <c r="A354" s="25"/>
      <c r="B354" s="25"/>
      <c r="C354" s="27" t="s">
        <v>89</v>
      </c>
      <c r="D354" s="26"/>
      <c r="E354" s="26"/>
      <c r="F354" s="26"/>
      <c r="G354" s="26">
        <v>194.68700000000001</v>
      </c>
      <c r="H354" s="41"/>
      <c r="I354" s="26">
        <f t="shared" si="35"/>
        <v>194.68700000000001</v>
      </c>
      <c r="J354" s="48"/>
    </row>
    <row r="355" spans="1:10" ht="17.100000000000001" customHeight="1" x14ac:dyDescent="0.25">
      <c r="A355" s="25"/>
      <c r="B355" s="25"/>
      <c r="C355" s="27" t="s">
        <v>90</v>
      </c>
      <c r="D355" s="26"/>
      <c r="E355" s="26"/>
      <c r="F355" s="26"/>
      <c r="G355" s="26">
        <v>160.86699999999999</v>
      </c>
      <c r="H355" s="41"/>
      <c r="I355" s="26">
        <f t="shared" si="35"/>
        <v>160.86699999999999</v>
      </c>
      <c r="J355" s="48"/>
    </row>
    <row r="356" spans="1:10" ht="17.100000000000001" customHeight="1" x14ac:dyDescent="0.25">
      <c r="A356" s="25"/>
      <c r="B356" s="25"/>
      <c r="C356" s="27" t="s">
        <v>91</v>
      </c>
      <c r="D356" s="26"/>
      <c r="E356" s="26"/>
      <c r="F356" s="26"/>
      <c r="G356" s="26">
        <v>38.213000000000001</v>
      </c>
      <c r="H356" s="41"/>
      <c r="I356" s="26">
        <f t="shared" si="35"/>
        <v>38.213000000000001</v>
      </c>
      <c r="J356" s="48"/>
    </row>
    <row r="357" spans="1:10" ht="17.100000000000001" customHeight="1" x14ac:dyDescent="0.25">
      <c r="A357" s="25"/>
      <c r="B357" s="25"/>
      <c r="C357" s="27" t="s">
        <v>92</v>
      </c>
      <c r="D357" s="26"/>
      <c r="E357" s="26"/>
      <c r="F357" s="26"/>
      <c r="G357" s="26">
        <v>17.2</v>
      </c>
      <c r="H357" s="41"/>
      <c r="I357" s="26">
        <f t="shared" si="35"/>
        <v>17.2</v>
      </c>
      <c r="J357" s="48"/>
    </row>
    <row r="358" spans="1:10" ht="17.100000000000001" customHeight="1" x14ac:dyDescent="0.25">
      <c r="A358" s="25"/>
      <c r="B358" s="25"/>
      <c r="C358" s="27" t="s">
        <v>93</v>
      </c>
      <c r="D358" s="26"/>
      <c r="E358" s="26"/>
      <c r="F358" s="26"/>
      <c r="G358" s="26">
        <v>116.376</v>
      </c>
      <c r="H358" s="41"/>
      <c r="I358" s="26">
        <f>PRODUCT(D358:H358)</f>
        <v>116.376</v>
      </c>
      <c r="J358" s="48"/>
    </row>
    <row r="359" spans="1:10" ht="17.100000000000001" customHeight="1" x14ac:dyDescent="0.25">
      <c r="A359" s="25"/>
      <c r="B359" s="25"/>
      <c r="C359" s="27" t="s">
        <v>94</v>
      </c>
      <c r="D359" s="26"/>
      <c r="E359" s="26"/>
      <c r="F359" s="26"/>
      <c r="G359" s="26">
        <v>157.755</v>
      </c>
      <c r="H359" s="41"/>
      <c r="I359" s="26">
        <f>PRODUCT(D359:H359)</f>
        <v>157.755</v>
      </c>
      <c r="J359" s="48"/>
    </row>
    <row r="360" spans="1:10" x14ac:dyDescent="0.25">
      <c r="A360" s="25"/>
      <c r="B360" s="25"/>
      <c r="C360" s="30" t="s">
        <v>51</v>
      </c>
      <c r="D360" s="31"/>
      <c r="E360" s="32"/>
      <c r="F360" s="32"/>
      <c r="G360" s="32"/>
      <c r="H360" s="32"/>
      <c r="I360" s="31">
        <f>SUM(I341:I359)</f>
        <v>2330.8040000000001</v>
      </c>
      <c r="J360" s="20" t="s">
        <v>15</v>
      </c>
    </row>
    <row r="361" spans="1:10" x14ac:dyDescent="0.25">
      <c r="A361" s="314"/>
      <c r="B361" s="314"/>
      <c r="C361" s="56"/>
      <c r="D361" s="56"/>
      <c r="E361" s="56"/>
      <c r="F361" s="56"/>
      <c r="G361" s="56"/>
      <c r="H361" s="56"/>
      <c r="I361" s="56"/>
      <c r="J361" s="56"/>
    </row>
    <row r="362" spans="1:10" ht="63.75" customHeight="1" x14ac:dyDescent="0.25">
      <c r="A362" s="113" t="str">
        <f>PLANILHA!C37</f>
        <v>17.01.145</v>
      </c>
      <c r="B362" s="113" t="str">
        <f>PLANILHA!A37</f>
        <v>2.6</v>
      </c>
      <c r="C362" s="55" t="str">
        <f>PLANILHA!D37</f>
        <v xml:space="preserve">Revestimento com pedras graniticas de dimensoes medias (0,45 x 0,45 x 0,05) m e com uma superficie plana (nao trabalhada), assentadas e rejuntadas com argamassa de cimento e areia no traco 1:6.
</v>
      </c>
      <c r="D362" s="26"/>
      <c r="E362" s="26"/>
      <c r="F362" s="26"/>
      <c r="G362" s="26"/>
      <c r="H362" s="26"/>
      <c r="I362" s="26"/>
      <c r="J362" s="48"/>
    </row>
    <row r="363" spans="1:10" x14ac:dyDescent="0.25">
      <c r="A363" s="25"/>
      <c r="B363" s="25"/>
      <c r="C363" s="27" t="s">
        <v>65</v>
      </c>
      <c r="D363" s="49"/>
      <c r="E363" s="41"/>
      <c r="F363" s="41"/>
      <c r="G363" s="41"/>
      <c r="H363" s="41"/>
      <c r="I363" s="26"/>
      <c r="J363" s="48"/>
    </row>
    <row r="364" spans="1:10" ht="24" x14ac:dyDescent="0.25">
      <c r="A364" s="25"/>
      <c r="B364" s="25"/>
      <c r="C364" s="27" t="s">
        <v>368</v>
      </c>
      <c r="D364" s="49"/>
      <c r="E364" s="41"/>
      <c r="F364" s="41"/>
      <c r="G364" s="41">
        <v>588.4</v>
      </c>
      <c r="H364" s="41"/>
      <c r="I364" s="26">
        <f>PRODUCT(D364:H364)</f>
        <v>588.4</v>
      </c>
      <c r="J364" s="48"/>
    </row>
    <row r="365" spans="1:10" x14ac:dyDescent="0.25">
      <c r="A365" s="25"/>
      <c r="B365" s="25"/>
      <c r="C365" s="27"/>
      <c r="D365" s="49"/>
      <c r="E365" s="41"/>
      <c r="F365" s="41"/>
      <c r="G365" s="41"/>
      <c r="H365" s="41"/>
      <c r="I365" s="26"/>
      <c r="J365" s="48"/>
    </row>
    <row r="366" spans="1:10" x14ac:dyDescent="0.25">
      <c r="A366" s="25"/>
      <c r="B366" s="25"/>
      <c r="C366" s="30" t="s">
        <v>51</v>
      </c>
      <c r="D366" s="31"/>
      <c r="E366" s="32"/>
      <c r="F366" s="32"/>
      <c r="G366" s="32"/>
      <c r="H366" s="32"/>
      <c r="I366" s="31">
        <f>SUM(I363:I365)</f>
        <v>588.4</v>
      </c>
      <c r="J366" s="20" t="s">
        <v>15</v>
      </c>
    </row>
    <row r="367" spans="1:10" ht="12.75" customHeight="1" x14ac:dyDescent="0.25">
      <c r="A367" s="314"/>
      <c r="B367" s="314"/>
      <c r="C367" s="56"/>
      <c r="D367" s="56"/>
      <c r="E367" s="56"/>
      <c r="F367" s="56"/>
      <c r="G367" s="56"/>
      <c r="H367" s="56"/>
      <c r="I367" s="56"/>
      <c r="J367" s="56"/>
    </row>
    <row r="368" spans="1:10" ht="87.75" customHeight="1" x14ac:dyDescent="0.25">
      <c r="A368" s="313" t="str">
        <f>PLANILHA!C38</f>
        <v>17.01.170</v>
      </c>
      <c r="B368" s="313" t="str">
        <f>PLANILHA!A38</f>
        <v>2.7</v>
      </c>
      <c r="C368" s="55" t="str">
        <f>PLANILHA!D38</f>
        <v xml:space="preserve">Passeio em bloco de cimento intertravado tip paver ou sim. fck minimo 30 mpa com pigmento natural, dim.(0,20 x 0,10 x 0,06)m, assentado sobre colchao de areia com 6cm de espessura e rejuntado com areia fina com uso de placa vibratoria
</v>
      </c>
      <c r="D368" s="78"/>
      <c r="E368" s="78"/>
      <c r="F368" s="78"/>
      <c r="G368" s="78"/>
      <c r="H368" s="78"/>
      <c r="I368" s="78">
        <f>PRODUCT(D368:H368)</f>
        <v>0</v>
      </c>
      <c r="J368" s="48"/>
    </row>
    <row r="369" spans="1:10" ht="12.75" customHeight="1" x14ac:dyDescent="0.25">
      <c r="A369" s="25"/>
      <c r="B369" s="25"/>
      <c r="C369" s="27" t="s">
        <v>66</v>
      </c>
      <c r="D369" s="49"/>
      <c r="E369" s="41"/>
      <c r="F369" s="41"/>
      <c r="G369" s="41">
        <v>471.59</v>
      </c>
      <c r="H369" s="41"/>
      <c r="I369" s="49">
        <f>PRODUCT(D369:H369)</f>
        <v>471.59</v>
      </c>
      <c r="J369" s="48"/>
    </row>
    <row r="370" spans="1:10" ht="48.75" customHeight="1" x14ac:dyDescent="0.25">
      <c r="A370" s="25"/>
      <c r="B370" s="25"/>
      <c r="C370" s="55" t="s">
        <v>105</v>
      </c>
      <c r="D370" s="49"/>
      <c r="E370" s="41"/>
      <c r="F370" s="41"/>
      <c r="G370" s="41">
        <v>534.86</v>
      </c>
      <c r="H370" s="41"/>
      <c r="I370" s="49">
        <f>G370</f>
        <v>534.86</v>
      </c>
      <c r="J370" s="48"/>
    </row>
    <row r="371" spans="1:10" ht="12.75" customHeight="1" x14ac:dyDescent="0.25">
      <c r="A371" s="25"/>
      <c r="B371" s="25"/>
      <c r="C371" s="27"/>
      <c r="D371" s="49"/>
      <c r="E371" s="41"/>
      <c r="F371" s="41"/>
      <c r="G371" s="41"/>
      <c r="H371" s="41"/>
      <c r="I371" s="49"/>
      <c r="J371" s="48"/>
    </row>
    <row r="372" spans="1:10" ht="12.75" customHeight="1" x14ac:dyDescent="0.25">
      <c r="A372" s="25"/>
      <c r="B372" s="25"/>
      <c r="C372" s="30" t="s">
        <v>51</v>
      </c>
      <c r="D372" s="31"/>
      <c r="E372" s="32"/>
      <c r="F372" s="32"/>
      <c r="G372" s="32"/>
      <c r="H372" s="32"/>
      <c r="I372" s="31">
        <f>SUM(I368:I371)</f>
        <v>1006.45</v>
      </c>
      <c r="J372" s="20" t="s">
        <v>15</v>
      </c>
    </row>
    <row r="373" spans="1:10" x14ac:dyDescent="0.25">
      <c r="A373" s="25"/>
      <c r="B373" s="25"/>
      <c r="C373" s="58"/>
      <c r="D373" s="59"/>
      <c r="E373" s="60"/>
      <c r="F373" s="60"/>
      <c r="G373" s="60"/>
      <c r="H373" s="60"/>
      <c r="I373" s="59"/>
      <c r="J373" s="61"/>
    </row>
    <row r="374" spans="1:10" ht="37.5" customHeight="1" x14ac:dyDescent="0.25">
      <c r="A374" s="113" t="str">
        <f>PLANILHA!C39</f>
        <v>73923/001</v>
      </c>
      <c r="B374" s="113" t="str">
        <f>PLANILHA!A39</f>
        <v>2.8</v>
      </c>
      <c r="C374" s="55" t="str">
        <f>PLANILHA!D39</f>
        <v xml:space="preserve">Piso cimentado rustico traco 1:4 (cimento e areia), espessura 2,0cm, preparo manual
</v>
      </c>
      <c r="D374" s="26"/>
      <c r="E374" s="26"/>
      <c r="F374" s="26"/>
      <c r="G374" s="26"/>
      <c r="H374" s="26"/>
      <c r="I374" s="26">
        <f>PRODUCT(D374:H374)</f>
        <v>0</v>
      </c>
      <c r="J374" s="48"/>
    </row>
    <row r="375" spans="1:10" x14ac:dyDescent="0.25">
      <c r="A375" s="25"/>
      <c r="B375" s="25"/>
      <c r="C375" s="27" t="s">
        <v>66</v>
      </c>
      <c r="D375" s="49"/>
      <c r="E375" s="41"/>
      <c r="F375" s="41"/>
      <c r="G375" s="41">
        <v>110.04</v>
      </c>
      <c r="H375" s="41"/>
      <c r="I375" s="26">
        <f>G375</f>
        <v>110.04</v>
      </c>
      <c r="J375" s="48"/>
    </row>
    <row r="376" spans="1:10" x14ac:dyDescent="0.25">
      <c r="A376" s="25"/>
      <c r="B376" s="25"/>
      <c r="C376" s="30" t="s">
        <v>51</v>
      </c>
      <c r="D376" s="31"/>
      <c r="E376" s="32"/>
      <c r="F376" s="32"/>
      <c r="G376" s="32"/>
      <c r="H376" s="32"/>
      <c r="I376" s="31">
        <f>SUM(I374:I375)</f>
        <v>110.04</v>
      </c>
      <c r="J376" s="20" t="s">
        <v>333</v>
      </c>
    </row>
    <row r="377" spans="1:10" x14ac:dyDescent="0.25">
      <c r="A377" s="314"/>
      <c r="B377" s="314"/>
      <c r="C377" s="56"/>
      <c r="D377" s="56"/>
      <c r="E377" s="56"/>
      <c r="F377" s="56"/>
      <c r="G377" s="56"/>
      <c r="H377" s="56"/>
      <c r="I377" s="56"/>
      <c r="J377" s="56"/>
    </row>
    <row r="378" spans="1:10" ht="63.75" customHeight="1" x14ac:dyDescent="0.25">
      <c r="A378" s="113">
        <f>PLANILHA!C40</f>
        <v>83395</v>
      </c>
      <c r="B378" s="113" t="str">
        <f>PLANILHA!A40</f>
        <v>2.9</v>
      </c>
      <c r="C378" s="55" t="str">
        <f>PLANILHA!D40</f>
        <v xml:space="preserve">Poste de concreto duplo t h=9m carga nominal 150kg inclusive escavacao, exclusive transporte - fornecimento e instalacao
</v>
      </c>
      <c r="D378" s="26"/>
      <c r="E378" s="26"/>
      <c r="F378" s="26"/>
      <c r="G378" s="26"/>
      <c r="H378" s="26"/>
      <c r="I378" s="26">
        <f>PRODUCT(D378:H378)</f>
        <v>0</v>
      </c>
      <c r="J378" s="48"/>
    </row>
    <row r="379" spans="1:10" x14ac:dyDescent="0.25">
      <c r="A379" s="25"/>
      <c r="B379" s="25"/>
      <c r="C379" s="27" t="s">
        <v>370</v>
      </c>
      <c r="D379" s="49"/>
      <c r="E379" s="41"/>
      <c r="F379" s="41"/>
      <c r="G379" s="41"/>
      <c r="H379" s="41"/>
      <c r="I379" s="26">
        <v>1</v>
      </c>
      <c r="J379" s="48"/>
    </row>
    <row r="380" spans="1:10" x14ac:dyDescent="0.25">
      <c r="A380" s="25"/>
      <c r="B380" s="25"/>
      <c r="C380" s="27"/>
      <c r="D380" s="49"/>
      <c r="E380" s="41"/>
      <c r="F380" s="41"/>
      <c r="G380" s="41"/>
      <c r="H380" s="41"/>
      <c r="I380" s="26"/>
      <c r="J380" s="48"/>
    </row>
    <row r="381" spans="1:10" x14ac:dyDescent="0.25">
      <c r="A381" s="25"/>
      <c r="B381" s="25"/>
      <c r="C381" s="27"/>
      <c r="D381" s="49"/>
      <c r="E381" s="41"/>
      <c r="F381" s="41"/>
      <c r="G381" s="41"/>
      <c r="H381" s="41"/>
      <c r="I381" s="26"/>
      <c r="J381" s="48"/>
    </row>
    <row r="382" spans="1:10" x14ac:dyDescent="0.25">
      <c r="A382" s="25"/>
      <c r="B382" s="25"/>
      <c r="C382" s="30" t="s">
        <v>51</v>
      </c>
      <c r="D382" s="31"/>
      <c r="E382" s="32"/>
      <c r="F382" s="32"/>
      <c r="G382" s="32"/>
      <c r="H382" s="32"/>
      <c r="I382" s="31">
        <f>SUM(I379:I380)</f>
        <v>1</v>
      </c>
      <c r="J382" s="20" t="s">
        <v>37</v>
      </c>
    </row>
    <row r="383" spans="1:10" ht="12.75" customHeight="1" x14ac:dyDescent="0.25">
      <c r="A383" s="314"/>
      <c r="B383" s="314"/>
      <c r="C383" s="56"/>
      <c r="D383" s="56"/>
      <c r="E383" s="56"/>
      <c r="F383" s="56"/>
      <c r="G383" s="56"/>
      <c r="H383" s="56"/>
      <c r="I383" s="56"/>
      <c r="J383" s="56"/>
    </row>
    <row r="384" spans="1:10" ht="60.75" customHeight="1" x14ac:dyDescent="0.25">
      <c r="A384" s="113" t="str">
        <f>PLANILHA!C41</f>
        <v>06.03.110</v>
      </c>
      <c r="B384" s="113" t="str">
        <f>PLANILHA!A41</f>
        <v>2.10</v>
      </c>
      <c r="C384" s="55" t="str">
        <f>PLANILHA!D41</f>
        <v xml:space="preserve">Concreto armado pronto, fck 15 mpa,condicao b (nbr-12655), lancado em lajes e adensado, inclusive forma, escoramento e ferragem.
</v>
      </c>
      <c r="D384" s="26"/>
      <c r="E384" s="26"/>
      <c r="F384" s="26"/>
      <c r="G384" s="26"/>
      <c r="H384" s="26"/>
      <c r="I384" s="26">
        <f>PRODUCT(D384:H384)</f>
        <v>0</v>
      </c>
      <c r="J384" s="48"/>
    </row>
    <row r="385" spans="1:10" ht="12.75" customHeight="1" x14ac:dyDescent="0.25">
      <c r="A385" s="25"/>
      <c r="B385" s="25"/>
      <c r="C385" s="27" t="s">
        <v>490</v>
      </c>
      <c r="D385" s="49"/>
      <c r="E385" s="41"/>
      <c r="F385" s="41">
        <v>0.1</v>
      </c>
      <c r="G385" s="41">
        <v>0.28000000000000003</v>
      </c>
      <c r="H385" s="41"/>
      <c r="I385" s="26">
        <f>F385*G385</f>
        <v>2.8000000000000004E-2</v>
      </c>
      <c r="J385" s="48"/>
    </row>
    <row r="386" spans="1:10" ht="12.75" customHeight="1" x14ac:dyDescent="0.25">
      <c r="A386" s="25"/>
      <c r="B386" s="25"/>
      <c r="C386" s="27"/>
      <c r="D386" s="49"/>
      <c r="E386" s="41"/>
      <c r="F386" s="41"/>
      <c r="G386" s="41"/>
      <c r="H386" s="41"/>
      <c r="I386" s="26"/>
      <c r="J386" s="48"/>
    </row>
    <row r="387" spans="1:10" ht="12.75" customHeight="1" x14ac:dyDescent="0.25">
      <c r="A387" s="25"/>
      <c r="B387" s="25"/>
      <c r="C387" s="27"/>
      <c r="D387" s="49"/>
      <c r="E387" s="41"/>
      <c r="F387" s="41"/>
      <c r="G387" s="41"/>
      <c r="H387" s="41"/>
      <c r="I387" s="26"/>
      <c r="J387" s="48"/>
    </row>
    <row r="388" spans="1:10" ht="12.75" customHeight="1" x14ac:dyDescent="0.25">
      <c r="A388" s="25"/>
      <c r="B388" s="25"/>
      <c r="C388" s="30" t="s">
        <v>51</v>
      </c>
      <c r="D388" s="31"/>
      <c r="E388" s="32"/>
      <c r="F388" s="32"/>
      <c r="G388" s="32"/>
      <c r="H388" s="32"/>
      <c r="I388" s="31">
        <f>SUM(I385:I386)</f>
        <v>2.8000000000000004E-2</v>
      </c>
      <c r="J388" s="20" t="s">
        <v>326</v>
      </c>
    </row>
    <row r="389" spans="1:10" ht="12.75" customHeight="1" x14ac:dyDescent="0.25">
      <c r="A389" s="314"/>
      <c r="B389" s="314"/>
      <c r="C389" s="56"/>
      <c r="D389" s="56"/>
      <c r="E389" s="56"/>
      <c r="F389" s="56"/>
      <c r="G389" s="56"/>
      <c r="H389" s="56"/>
      <c r="I389" s="56"/>
      <c r="J389" s="56"/>
    </row>
    <row r="390" spans="1:10" ht="12.75" customHeight="1" x14ac:dyDescent="0.25">
      <c r="A390" s="314"/>
      <c r="B390" s="314"/>
      <c r="C390" s="56"/>
      <c r="D390" s="56"/>
      <c r="E390" s="56"/>
      <c r="F390" s="56"/>
      <c r="G390" s="56"/>
      <c r="H390" s="56"/>
      <c r="I390" s="56"/>
      <c r="J390" s="56"/>
    </row>
    <row r="391" spans="1:10" ht="36.75" customHeight="1" x14ac:dyDescent="0.25">
      <c r="A391" s="113" t="str">
        <f>PLANILHA!C42</f>
        <v>CP-07</v>
      </c>
      <c r="B391" s="113" t="str">
        <f>PLANILHA!A42</f>
        <v>2.11</v>
      </c>
      <c r="C391" s="55" t="str">
        <f>PLANILHA!D42</f>
        <v>Assentamento de Piso Tatil Direcional ou Alerta, aplicação e mao-de-obra.</v>
      </c>
      <c r="D391" s="26"/>
      <c r="E391" s="26"/>
      <c r="F391" s="26"/>
      <c r="G391" s="26"/>
      <c r="H391" s="26"/>
      <c r="I391" s="26">
        <f>PRODUCT(D391:H391)</f>
        <v>0</v>
      </c>
      <c r="J391" s="48"/>
    </row>
    <row r="392" spans="1:10" x14ac:dyDescent="0.25">
      <c r="A392" s="25"/>
      <c r="B392" s="25"/>
      <c r="C392" s="27" t="s">
        <v>66</v>
      </c>
      <c r="D392" s="49"/>
      <c r="E392" s="41"/>
      <c r="F392" s="41"/>
      <c r="G392" s="41">
        <f>353.24-19.9</f>
        <v>333.34000000000003</v>
      </c>
      <c r="H392" s="41"/>
      <c r="I392" s="26">
        <f>PRODUCT(D392:H392)</f>
        <v>333.34000000000003</v>
      </c>
      <c r="J392" s="48"/>
    </row>
    <row r="393" spans="1:10" x14ac:dyDescent="0.25">
      <c r="A393" s="25"/>
      <c r="B393" s="25"/>
      <c r="C393" s="27"/>
      <c r="D393" s="49"/>
      <c r="E393" s="41"/>
      <c r="F393" s="41"/>
      <c r="G393" s="41"/>
      <c r="H393" s="41"/>
      <c r="I393" s="26">
        <f>PRODUCT(D393:H393)</f>
        <v>0</v>
      </c>
      <c r="J393" s="48"/>
    </row>
    <row r="394" spans="1:10" x14ac:dyDescent="0.25">
      <c r="A394" s="25"/>
      <c r="B394" s="25"/>
      <c r="C394" s="30" t="s">
        <v>51</v>
      </c>
      <c r="D394" s="31"/>
      <c r="E394" s="32"/>
      <c r="F394" s="32"/>
      <c r="G394" s="32"/>
      <c r="H394" s="32"/>
      <c r="I394" s="31">
        <f>SUM(I391:I393)</f>
        <v>333.34000000000003</v>
      </c>
      <c r="J394" s="20" t="s">
        <v>15</v>
      </c>
    </row>
    <row r="395" spans="1:10" x14ac:dyDescent="0.25">
      <c r="A395" s="25"/>
      <c r="B395" s="25"/>
      <c r="C395" s="58"/>
      <c r="D395" s="59"/>
      <c r="E395" s="60"/>
      <c r="F395" s="60"/>
      <c r="G395" s="60"/>
      <c r="H395" s="60"/>
      <c r="I395" s="59"/>
      <c r="J395" s="61"/>
    </row>
    <row r="396" spans="1:10" x14ac:dyDescent="0.25">
      <c r="A396" s="25"/>
      <c r="B396" s="25"/>
      <c r="C396" s="58"/>
      <c r="D396" s="59"/>
      <c r="E396" s="60"/>
      <c r="F396" s="60"/>
      <c r="G396" s="60"/>
      <c r="H396" s="60"/>
      <c r="I396" s="59"/>
      <c r="J396" s="61"/>
    </row>
    <row r="397" spans="1:10" ht="33" customHeight="1" x14ac:dyDescent="0.25">
      <c r="A397" s="113" t="str">
        <f>PLANILHA!C43</f>
        <v>4 S 06 100 32</v>
      </c>
      <c r="B397" s="113" t="str">
        <f>PLANILHA!A43</f>
        <v>2.12</v>
      </c>
      <c r="C397" s="109" t="str">
        <f>PLANILHA!D43</f>
        <v>Pintura setas e zebrado - tinta b.acrílica -2 anos.</v>
      </c>
      <c r="D397" s="26"/>
      <c r="E397" s="26"/>
      <c r="F397" s="26"/>
      <c r="G397" s="26"/>
      <c r="H397" s="26"/>
      <c r="I397" s="26"/>
      <c r="J397" s="48"/>
    </row>
    <row r="398" spans="1:10" x14ac:dyDescent="0.25">
      <c r="A398" s="25"/>
      <c r="B398" s="25"/>
      <c r="C398" s="27" t="s">
        <v>340</v>
      </c>
      <c r="D398" s="49"/>
      <c r="E398" s="41"/>
      <c r="F398" s="41"/>
      <c r="G398" s="41">
        <f>1051.24-180.23</f>
        <v>871.01</v>
      </c>
      <c r="H398" s="41"/>
      <c r="I398" s="26">
        <f>G398</f>
        <v>871.01</v>
      </c>
      <c r="J398" s="48"/>
    </row>
    <row r="399" spans="1:10" x14ac:dyDescent="0.25">
      <c r="A399" s="25"/>
      <c r="B399" s="25"/>
      <c r="C399" s="27"/>
      <c r="D399" s="49"/>
      <c r="E399" s="41"/>
      <c r="F399" s="41"/>
      <c r="G399" s="41"/>
      <c r="H399" s="41"/>
      <c r="I399" s="26"/>
      <c r="J399" s="48"/>
    </row>
    <row r="400" spans="1:10" x14ac:dyDescent="0.25">
      <c r="A400" s="25"/>
      <c r="B400" s="25"/>
      <c r="C400" s="30" t="s">
        <v>51</v>
      </c>
      <c r="D400" s="31"/>
      <c r="E400" s="32"/>
      <c r="F400" s="32"/>
      <c r="G400" s="32"/>
      <c r="H400" s="32"/>
      <c r="I400" s="31">
        <f>SUM(I398:I399)</f>
        <v>871.01</v>
      </c>
      <c r="J400" s="20" t="s">
        <v>15</v>
      </c>
    </row>
    <row r="401" spans="1:10" ht="76.5" x14ac:dyDescent="0.25">
      <c r="A401" s="113" t="str">
        <f>PLANILHA!C44</f>
        <v>20.09.021</v>
      </c>
      <c r="B401" s="113" t="str">
        <f>PLANILHA!A44</f>
        <v>2.13</v>
      </c>
      <c r="C401" s="55" t="str">
        <f>PLANILHA!D44</f>
        <v xml:space="preserve">Fornecimento e assentamento de meio-fio  de concreto pre moldado para jardim, dimensoes (1.00 x 0.20 x 0.075)m, rejuntado com argamassa de cimento e areia 1 2.
</v>
      </c>
      <c r="D401" s="26"/>
      <c r="E401" s="26"/>
      <c r="F401" s="26"/>
      <c r="G401" s="26"/>
      <c r="H401" s="26"/>
      <c r="I401" s="26">
        <f>PRODUCT(D401:H401)</f>
        <v>0</v>
      </c>
      <c r="J401" s="48"/>
    </row>
    <row r="402" spans="1:10" x14ac:dyDescent="0.25">
      <c r="A402" s="25"/>
      <c r="B402" s="25"/>
      <c r="C402" s="27" t="s">
        <v>66</v>
      </c>
      <c r="D402" s="49">
        <v>235.78</v>
      </c>
      <c r="E402" s="41"/>
      <c r="F402" s="41"/>
      <c r="G402" s="41"/>
      <c r="H402" s="41"/>
      <c r="I402" s="26">
        <f>PRODUCT(D402:H402)</f>
        <v>235.78</v>
      </c>
      <c r="J402" s="48"/>
    </row>
    <row r="403" spans="1:10" x14ac:dyDescent="0.25">
      <c r="A403" s="25"/>
      <c r="B403" s="25"/>
      <c r="C403" s="27"/>
      <c r="D403" s="49"/>
      <c r="E403" s="41"/>
      <c r="F403" s="41"/>
      <c r="G403" s="41"/>
      <c r="H403" s="41"/>
      <c r="I403" s="26">
        <f>PRODUCT(D403:H403)</f>
        <v>0</v>
      </c>
      <c r="J403" s="48"/>
    </row>
    <row r="404" spans="1:10" x14ac:dyDescent="0.25">
      <c r="A404" s="25"/>
      <c r="B404" s="25"/>
      <c r="C404" s="30" t="s">
        <v>51</v>
      </c>
      <c r="D404" s="31"/>
      <c r="E404" s="32"/>
      <c r="F404" s="32"/>
      <c r="G404" s="32"/>
      <c r="H404" s="32"/>
      <c r="I404" s="31">
        <f>SUM(I401:I403)</f>
        <v>235.78</v>
      </c>
      <c r="J404" s="20" t="s">
        <v>22</v>
      </c>
    </row>
    <row r="405" spans="1:10" x14ac:dyDescent="0.25">
      <c r="A405" s="25"/>
      <c r="B405" s="25"/>
      <c r="C405" s="58"/>
      <c r="D405" s="59"/>
      <c r="E405" s="60"/>
      <c r="F405" s="60"/>
      <c r="G405" s="60"/>
      <c r="H405" s="60"/>
      <c r="I405" s="59"/>
      <c r="J405" s="61"/>
    </row>
    <row r="406" spans="1:10" ht="25.5" x14ac:dyDescent="0.25">
      <c r="A406" s="113" t="str">
        <f>PLANILHA!C45</f>
        <v>74236/001</v>
      </c>
      <c r="B406" s="113" t="str">
        <f>PLANILHA!A45</f>
        <v>2.14</v>
      </c>
      <c r="C406" s="55" t="str">
        <f>PLANILHA!D45</f>
        <v>Grama batatais em placa, inclusive preparo do solo.</v>
      </c>
      <c r="D406" s="26"/>
      <c r="E406" s="26"/>
      <c r="F406" s="26"/>
      <c r="G406" s="26"/>
      <c r="H406" s="26"/>
      <c r="I406" s="26">
        <f>PRODUCT(D406:H406)</f>
        <v>0</v>
      </c>
      <c r="J406" s="48"/>
    </row>
    <row r="407" spans="1:10" x14ac:dyDescent="0.25">
      <c r="A407" s="25"/>
      <c r="B407" s="25"/>
      <c r="C407" s="27"/>
      <c r="D407" s="49"/>
      <c r="E407" s="41"/>
      <c r="F407" s="41"/>
      <c r="G407" s="41">
        <v>499.82</v>
      </c>
      <c r="H407" s="41"/>
      <c r="I407" s="26">
        <f>PRODUCT(D407:H407)</f>
        <v>499.82</v>
      </c>
      <c r="J407" s="48"/>
    </row>
    <row r="408" spans="1:10" x14ac:dyDescent="0.25">
      <c r="A408" s="25"/>
      <c r="B408" s="25"/>
      <c r="C408" s="30" t="s">
        <v>51</v>
      </c>
      <c r="D408" s="31"/>
      <c r="E408" s="32"/>
      <c r="F408" s="32"/>
      <c r="G408" s="32"/>
      <c r="H408" s="32"/>
      <c r="I408" s="31">
        <f>SUM(I406:I407)</f>
        <v>499.82</v>
      </c>
      <c r="J408" s="20" t="s">
        <v>15</v>
      </c>
    </row>
    <row r="409" spans="1:10" x14ac:dyDescent="0.25">
      <c r="A409" s="25"/>
      <c r="B409" s="25"/>
      <c r="C409" s="58"/>
      <c r="D409" s="59"/>
      <c r="E409" s="60"/>
      <c r="F409" s="60"/>
      <c r="G409" s="60"/>
      <c r="H409" s="60"/>
      <c r="I409" s="59"/>
      <c r="J409" s="61"/>
    </row>
    <row r="410" spans="1:10" ht="42.75" customHeight="1" x14ac:dyDescent="0.25">
      <c r="A410" s="63" t="str">
        <f>PLANILHA!C46</f>
        <v>CP-08</v>
      </c>
      <c r="B410" s="63" t="str">
        <f>PLANILHA!A46</f>
        <v>2.15</v>
      </c>
      <c r="C410" s="27" t="str">
        <f>PLANILHA!D46</f>
        <v>Fornecimento e assentamento de frade em concreto armado (concretisa ou similar) com diâmetro de 0,40 cm e altura de 0,40.</v>
      </c>
      <c r="D410" s="26"/>
      <c r="E410" s="26"/>
      <c r="F410" s="26"/>
      <c r="G410" s="26"/>
      <c r="H410" s="26"/>
      <c r="I410" s="26">
        <f>PRODUCT(D410:H410)</f>
        <v>0</v>
      </c>
      <c r="J410" s="48"/>
    </row>
    <row r="411" spans="1:10" x14ac:dyDescent="0.25">
      <c r="A411" s="25"/>
      <c r="B411" s="25"/>
      <c r="C411" s="27" t="s">
        <v>66</v>
      </c>
      <c r="D411" s="49"/>
      <c r="E411" s="41"/>
      <c r="F411" s="41"/>
      <c r="G411" s="41"/>
      <c r="H411" s="41"/>
      <c r="I411" s="26"/>
      <c r="J411" s="48"/>
    </row>
    <row r="412" spans="1:10" x14ac:dyDescent="0.25">
      <c r="A412" s="25"/>
      <c r="B412" s="25"/>
      <c r="C412" s="27"/>
      <c r="D412" s="49"/>
      <c r="E412" s="41"/>
      <c r="F412" s="41"/>
      <c r="G412" s="41"/>
      <c r="H412" s="41">
        <v>55</v>
      </c>
      <c r="I412" s="26">
        <f>PRODUCT(D412:H412)</f>
        <v>55</v>
      </c>
      <c r="J412" s="48"/>
    </row>
    <row r="413" spans="1:10" x14ac:dyDescent="0.25">
      <c r="A413" s="25"/>
      <c r="B413" s="25"/>
      <c r="C413" s="30" t="s">
        <v>51</v>
      </c>
      <c r="D413" s="31"/>
      <c r="E413" s="32"/>
      <c r="F413" s="32"/>
      <c r="G413" s="32"/>
      <c r="H413" s="32"/>
      <c r="I413" s="31">
        <f>I412</f>
        <v>55</v>
      </c>
      <c r="J413" s="20" t="s">
        <v>49</v>
      </c>
    </row>
    <row r="414" spans="1:10" x14ac:dyDescent="0.25">
      <c r="A414" s="25"/>
      <c r="B414" s="25"/>
      <c r="C414" s="58"/>
      <c r="D414" s="59"/>
      <c r="E414" s="60"/>
      <c r="F414" s="60"/>
      <c r="G414" s="60"/>
      <c r="H414" s="60"/>
      <c r="I414" s="59"/>
      <c r="J414" s="61"/>
    </row>
    <row r="415" spans="1:10" ht="18" customHeight="1" x14ac:dyDescent="0.25">
      <c r="A415" s="63" t="str">
        <f>PLANILHA!C47</f>
        <v>73967/002</v>
      </c>
      <c r="B415" s="63" t="str">
        <f>PLANILHA!A47</f>
        <v>2.16</v>
      </c>
      <c r="C415" s="27" t="str">
        <f>PLANILHA!D47</f>
        <v>Plantio de árvore.</v>
      </c>
      <c r="D415" s="26"/>
      <c r="E415" s="26"/>
      <c r="F415" s="26"/>
      <c r="G415" s="26"/>
      <c r="H415" s="26"/>
      <c r="I415" s="26">
        <v>8</v>
      </c>
      <c r="J415" s="48"/>
    </row>
    <row r="416" spans="1:10" x14ac:dyDescent="0.25">
      <c r="A416" s="25"/>
      <c r="B416" s="25"/>
      <c r="C416" s="27"/>
      <c r="D416" s="49"/>
      <c r="E416" s="41"/>
      <c r="F416" s="41"/>
      <c r="G416" s="41"/>
      <c r="H416" s="41"/>
      <c r="I416" s="26"/>
      <c r="J416" s="48"/>
    </row>
    <row r="417" spans="1:10" x14ac:dyDescent="0.25">
      <c r="A417" s="25"/>
      <c r="B417" s="25"/>
      <c r="C417" s="30" t="s">
        <v>51</v>
      </c>
      <c r="D417" s="31"/>
      <c r="E417" s="32"/>
      <c r="F417" s="32"/>
      <c r="G417" s="32"/>
      <c r="H417" s="32"/>
      <c r="I417" s="31">
        <f>I415</f>
        <v>8</v>
      </c>
      <c r="J417" s="20" t="s">
        <v>49</v>
      </c>
    </row>
    <row r="418" spans="1:10" ht="24" customHeight="1" x14ac:dyDescent="0.25">
      <c r="A418" s="25"/>
      <c r="B418" s="25"/>
      <c r="C418" s="58"/>
      <c r="D418" s="59"/>
      <c r="E418" s="60"/>
      <c r="F418" s="60"/>
      <c r="G418" s="60"/>
      <c r="H418" s="60"/>
      <c r="I418" s="59"/>
      <c r="J418" s="61"/>
    </row>
    <row r="419" spans="1:10" ht="24" customHeight="1" x14ac:dyDescent="0.25">
      <c r="A419" s="63" t="str">
        <f>PLANILHA!C48</f>
        <v>4 S 06 200 02</v>
      </c>
      <c r="B419" s="63" t="str">
        <f>PLANILHA!A48</f>
        <v>2.17</v>
      </c>
      <c r="C419" s="27" t="str">
        <f>PLANILHA!D48</f>
        <v>Fornecimento e instalação de placa de sinalização totalmente refletiva.</v>
      </c>
      <c r="D419" s="26"/>
      <c r="E419" s="26"/>
      <c r="F419" s="26"/>
      <c r="G419" s="26"/>
      <c r="H419" s="26"/>
      <c r="I419" s="26">
        <v>8</v>
      </c>
      <c r="J419" s="48"/>
    </row>
    <row r="420" spans="1:10" ht="15.75" customHeight="1" x14ac:dyDescent="0.25">
      <c r="A420" s="25"/>
      <c r="B420" s="25"/>
      <c r="C420" s="27"/>
      <c r="D420" s="49"/>
      <c r="E420" s="41"/>
      <c r="F420" s="41"/>
      <c r="G420" s="41"/>
      <c r="H420" s="41"/>
      <c r="I420" s="26"/>
      <c r="J420" s="48"/>
    </row>
    <row r="421" spans="1:10" ht="16.5" customHeight="1" x14ac:dyDescent="0.25">
      <c r="A421" s="25"/>
      <c r="B421" s="25"/>
      <c r="C421" s="30" t="s">
        <v>51</v>
      </c>
      <c r="D421" s="31"/>
      <c r="E421" s="32"/>
      <c r="F421" s="32"/>
      <c r="G421" s="32"/>
      <c r="H421" s="32"/>
      <c r="I421" s="31">
        <f>I419</f>
        <v>8</v>
      </c>
      <c r="J421" s="20" t="s">
        <v>49</v>
      </c>
    </row>
    <row r="422" spans="1:10" ht="17.25" customHeight="1" x14ac:dyDescent="0.25">
      <c r="A422" s="25"/>
      <c r="B422" s="25"/>
      <c r="C422" s="58"/>
      <c r="D422" s="59"/>
      <c r="E422" s="60"/>
      <c r="F422" s="60"/>
      <c r="G422" s="60"/>
      <c r="H422" s="60"/>
      <c r="I422" s="59"/>
      <c r="J422" s="61"/>
    </row>
    <row r="423" spans="1:10" ht="18" customHeight="1" x14ac:dyDescent="0.25">
      <c r="A423" s="63" t="str">
        <f>PLANILHA!C49</f>
        <v>06.03.110</v>
      </c>
      <c r="B423" s="63" t="str">
        <f>PLANILHA!A49</f>
        <v>2.18</v>
      </c>
      <c r="C423" s="27" t="str">
        <f>PLANILHA!D49</f>
        <v>Concreto Armado.</v>
      </c>
      <c r="D423" s="26"/>
      <c r="E423" s="26"/>
      <c r="F423" s="26"/>
      <c r="G423" s="26"/>
      <c r="H423" s="26"/>
      <c r="I423" s="26">
        <v>1.73</v>
      </c>
      <c r="J423" s="48"/>
    </row>
    <row r="424" spans="1:10" ht="14.25" customHeight="1" x14ac:dyDescent="0.25">
      <c r="A424" s="25"/>
      <c r="B424" s="25"/>
      <c r="C424" s="27"/>
      <c r="D424" s="49"/>
      <c r="E424" s="41"/>
      <c r="F424" s="41"/>
      <c r="G424" s="41"/>
      <c r="H424" s="41"/>
      <c r="I424" s="26"/>
      <c r="J424" s="48"/>
    </row>
    <row r="425" spans="1:10" ht="15.75" customHeight="1" x14ac:dyDescent="0.25">
      <c r="A425" s="25"/>
      <c r="B425" s="25"/>
      <c r="C425" s="30" t="s">
        <v>51</v>
      </c>
      <c r="D425" s="31"/>
      <c r="E425" s="32"/>
      <c r="F425" s="32"/>
      <c r="G425" s="32"/>
      <c r="H425" s="32"/>
      <c r="I425" s="31">
        <f>I423</f>
        <v>1.73</v>
      </c>
      <c r="J425" s="20" t="s">
        <v>120</v>
      </c>
    </row>
    <row r="426" spans="1:10" x14ac:dyDescent="0.25">
      <c r="A426" s="539" t="s">
        <v>41</v>
      </c>
      <c r="B426" s="540"/>
      <c r="C426" s="541"/>
      <c r="D426" s="541"/>
      <c r="E426" s="541"/>
      <c r="F426" s="541"/>
      <c r="G426" s="541"/>
      <c r="H426" s="541"/>
      <c r="I426" s="541"/>
      <c r="J426" s="542"/>
    </row>
    <row r="427" spans="1:10" ht="38.25" x14ac:dyDescent="0.25">
      <c r="A427" s="66" t="str">
        <f>PLANILHA!C51</f>
        <v>20.02.010</v>
      </c>
      <c r="B427" s="66" t="str">
        <f>PLANILHA!A51</f>
        <v>3.1</v>
      </c>
      <c r="C427" s="55" t="str">
        <f>PLANILHA!D51</f>
        <v xml:space="preserve">Execucao de sub-base estabilizada granulometricamente.
</v>
      </c>
      <c r="D427" s="78"/>
      <c r="E427" s="78"/>
      <c r="F427" s="78"/>
      <c r="G427" s="78"/>
      <c r="H427" s="78"/>
      <c r="I427" s="78"/>
      <c r="J427" s="48"/>
    </row>
    <row r="428" spans="1:10" x14ac:dyDescent="0.25">
      <c r="A428" s="25"/>
      <c r="B428" s="25"/>
      <c r="C428" s="27" t="s">
        <v>66</v>
      </c>
      <c r="D428" s="49"/>
      <c r="E428" s="41"/>
      <c r="F428" s="41"/>
      <c r="G428" s="41"/>
      <c r="H428" s="41"/>
      <c r="I428" s="49"/>
      <c r="J428" s="48"/>
    </row>
    <row r="429" spans="1:10" x14ac:dyDescent="0.25">
      <c r="A429" s="25"/>
      <c r="B429" s="25"/>
      <c r="C429" s="27"/>
      <c r="D429" s="49"/>
      <c r="E429" s="41"/>
      <c r="F429" s="41"/>
      <c r="G429" s="41"/>
      <c r="H429" s="41"/>
      <c r="I429" s="49">
        <v>232.57</v>
      </c>
      <c r="J429" s="48"/>
    </row>
    <row r="430" spans="1:10" x14ac:dyDescent="0.25">
      <c r="A430" s="25"/>
      <c r="B430" s="25"/>
      <c r="C430" s="30" t="s">
        <v>51</v>
      </c>
      <c r="D430" s="31"/>
      <c r="E430" s="32"/>
      <c r="F430" s="32"/>
      <c r="G430" s="32"/>
      <c r="H430" s="32"/>
      <c r="I430" s="31">
        <f>SUM(I428:I429)</f>
        <v>232.57</v>
      </c>
      <c r="J430" s="20" t="s">
        <v>53</v>
      </c>
    </row>
    <row r="431" spans="1:10" s="52" customFormat="1" x14ac:dyDescent="0.25">
      <c r="A431" s="57"/>
      <c r="B431" s="57"/>
      <c r="C431" s="58"/>
      <c r="D431" s="59"/>
      <c r="E431" s="60"/>
      <c r="F431" s="60"/>
      <c r="G431" s="60"/>
      <c r="H431" s="60"/>
      <c r="I431" s="59"/>
      <c r="J431" s="61"/>
    </row>
    <row r="432" spans="1:10" s="52" customFormat="1" ht="51" x14ac:dyDescent="0.25">
      <c r="A432" s="66">
        <f>PLANILHA!C52</f>
        <v>72964</v>
      </c>
      <c r="B432" s="66" t="str">
        <f>PLANILHA!A52</f>
        <v>3.2</v>
      </c>
      <c r="C432" s="55" t="str">
        <f>PLANILHA!D52</f>
        <v xml:space="preserve">Concreto betuminoso usinado a quente com cap 50/70, binder, incluso usinagem e aplicacao, exclusive transporte
</v>
      </c>
      <c r="D432" s="26"/>
      <c r="E432" s="26"/>
      <c r="F432" s="26"/>
      <c r="G432" s="26"/>
      <c r="H432" s="26"/>
      <c r="I432" s="26">
        <f>PRODUCT(D432:H432)</f>
        <v>0</v>
      </c>
      <c r="J432" s="48"/>
    </row>
    <row r="433" spans="1:10" s="52" customFormat="1" x14ac:dyDescent="0.25">
      <c r="A433" s="25"/>
      <c r="B433" s="25"/>
      <c r="C433" s="27" t="s">
        <v>66</v>
      </c>
      <c r="D433" s="26"/>
      <c r="E433" s="26"/>
      <c r="F433" s="26"/>
      <c r="G433" s="26"/>
      <c r="H433" s="26"/>
      <c r="I433" s="26">
        <f>PRODUCT(D433:H433)</f>
        <v>0</v>
      </c>
      <c r="J433" s="48"/>
    </row>
    <row r="434" spans="1:10" s="52" customFormat="1" x14ac:dyDescent="0.25">
      <c r="A434" s="25"/>
      <c r="B434" s="25"/>
      <c r="C434" s="27" t="s">
        <v>372</v>
      </c>
      <c r="D434" s="26"/>
      <c r="E434" s="26"/>
      <c r="F434" s="26">
        <v>0.05</v>
      </c>
      <c r="G434" s="26">
        <v>22.32</v>
      </c>
      <c r="H434" s="26"/>
      <c r="I434" s="26">
        <f>PRODUCT(D434:H434)</f>
        <v>1.1160000000000001</v>
      </c>
      <c r="J434" s="48"/>
    </row>
    <row r="435" spans="1:10" s="52" customFormat="1" x14ac:dyDescent="0.25">
      <c r="A435" s="25"/>
      <c r="B435" s="25"/>
      <c r="C435" s="27"/>
      <c r="D435" s="26"/>
      <c r="E435" s="26"/>
      <c r="F435" s="26"/>
      <c r="G435" s="26"/>
      <c r="H435" s="26"/>
      <c r="I435" s="26"/>
      <c r="J435" s="48"/>
    </row>
    <row r="436" spans="1:10" s="52" customFormat="1" x14ac:dyDescent="0.25">
      <c r="A436" s="25"/>
      <c r="B436" s="25"/>
      <c r="C436" s="30" t="s">
        <v>51</v>
      </c>
      <c r="D436" s="31"/>
      <c r="E436" s="32"/>
      <c r="F436" s="32"/>
      <c r="G436" s="32"/>
      <c r="H436" s="32"/>
      <c r="I436" s="31">
        <f>SUM(I432:I434)</f>
        <v>1.1160000000000001</v>
      </c>
      <c r="J436" s="20" t="s">
        <v>117</v>
      </c>
    </row>
    <row r="437" spans="1:10" s="52" customFormat="1" x14ac:dyDescent="0.25">
      <c r="A437" s="25"/>
      <c r="B437" s="25"/>
      <c r="C437" s="30" t="s">
        <v>51</v>
      </c>
      <c r="D437" s="31"/>
      <c r="E437" s="32"/>
      <c r="F437" s="32"/>
      <c r="G437" s="32"/>
      <c r="H437" s="32"/>
      <c r="I437" s="31">
        <f>I436/2</f>
        <v>0.55800000000000005</v>
      </c>
      <c r="J437" s="20" t="s">
        <v>125</v>
      </c>
    </row>
    <row r="438" spans="1:10" s="52" customFormat="1" x14ac:dyDescent="0.25">
      <c r="A438" s="57"/>
      <c r="B438" s="57"/>
      <c r="C438" s="58"/>
      <c r="D438" s="59"/>
      <c r="E438" s="60"/>
      <c r="F438" s="60"/>
      <c r="G438" s="60"/>
      <c r="H438" s="60"/>
      <c r="I438" s="59"/>
      <c r="J438" s="61"/>
    </row>
    <row r="439" spans="1:10" s="52" customFormat="1" ht="25.5" x14ac:dyDescent="0.25">
      <c r="A439" s="66">
        <f>PLANILHA!C53</f>
        <v>73370</v>
      </c>
      <c r="B439" s="66" t="str">
        <f>PLANILHA!A53</f>
        <v>3.3</v>
      </c>
      <c r="C439" s="55" t="str">
        <f>PLANILHA!D53</f>
        <v>Transporte de material de qualquer natureza dmt &gt; 10 km</v>
      </c>
      <c r="D439" s="26"/>
      <c r="E439" s="26"/>
      <c r="F439" s="26"/>
      <c r="G439" s="26"/>
      <c r="H439" s="26"/>
      <c r="I439" s="26">
        <f>PRODUCT(D439:H439)</f>
        <v>0</v>
      </c>
      <c r="J439" s="48"/>
    </row>
    <row r="440" spans="1:10" s="52" customFormat="1" x14ac:dyDescent="0.25">
      <c r="A440" s="25"/>
      <c r="B440" s="25"/>
      <c r="C440" s="27" t="s">
        <v>66</v>
      </c>
      <c r="D440" s="26"/>
      <c r="E440" s="26"/>
      <c r="F440" s="26"/>
      <c r="G440" s="26"/>
      <c r="H440" s="26"/>
      <c r="I440" s="26">
        <f>PRODUCT(D440:H440)</f>
        <v>0</v>
      </c>
      <c r="J440" s="48"/>
    </row>
    <row r="441" spans="1:10" s="52" customFormat="1" x14ac:dyDescent="0.25">
      <c r="A441" s="25"/>
      <c r="B441" s="25"/>
      <c r="C441" s="27"/>
      <c r="D441" s="26"/>
      <c r="E441" s="26"/>
      <c r="F441" s="26"/>
      <c r="G441" s="26"/>
      <c r="H441" s="26">
        <v>5.6</v>
      </c>
      <c r="I441" s="26">
        <f>PRODUCT(D441:H441)</f>
        <v>5.6</v>
      </c>
      <c r="J441" s="48"/>
    </row>
    <row r="442" spans="1:10" s="52" customFormat="1" x14ac:dyDescent="0.25">
      <c r="A442" s="25"/>
      <c r="B442" s="25"/>
      <c r="C442" s="27"/>
      <c r="D442" s="26"/>
      <c r="E442" s="26"/>
      <c r="F442" s="26"/>
      <c r="G442" s="26"/>
      <c r="H442" s="26"/>
      <c r="I442" s="26"/>
      <c r="J442" s="48"/>
    </row>
    <row r="443" spans="1:10" s="52" customFormat="1" x14ac:dyDescent="0.25">
      <c r="A443" s="25"/>
      <c r="B443" s="25"/>
      <c r="C443" s="30" t="s">
        <v>51</v>
      </c>
      <c r="D443" s="31"/>
      <c r="E443" s="32"/>
      <c r="F443" s="32"/>
      <c r="G443" s="32"/>
      <c r="H443" s="32"/>
      <c r="I443" s="31">
        <f>SUM(I439:I442)</f>
        <v>5.6</v>
      </c>
      <c r="J443" s="82" t="str">
        <f>PLANILHA!E53</f>
        <v>T/KM</v>
      </c>
    </row>
    <row r="444" spans="1:10" s="52" customFormat="1" x14ac:dyDescent="0.25">
      <c r="A444" s="57"/>
      <c r="B444" s="57"/>
      <c r="C444" s="58"/>
      <c r="D444" s="59"/>
      <c r="E444" s="60"/>
      <c r="F444" s="60"/>
      <c r="G444" s="60"/>
      <c r="H444" s="60"/>
      <c r="I444" s="59"/>
      <c r="J444" s="61"/>
    </row>
    <row r="445" spans="1:10" s="52" customFormat="1" x14ac:dyDescent="0.25">
      <c r="A445" s="57"/>
      <c r="B445" s="57"/>
      <c r="C445" s="58"/>
      <c r="D445" s="59"/>
      <c r="E445" s="60"/>
      <c r="F445" s="60"/>
      <c r="G445" s="60"/>
      <c r="H445" s="60"/>
      <c r="I445" s="59"/>
      <c r="J445" s="61"/>
    </row>
    <row r="446" spans="1:10" s="52" customFormat="1" ht="25.5" customHeight="1" x14ac:dyDescent="0.25">
      <c r="A446" s="313" t="str">
        <f>PLANILHA!C54</f>
        <v>74223/002</v>
      </c>
      <c r="B446" s="313" t="str">
        <f>PLANILHA!A54</f>
        <v>3.4</v>
      </c>
      <c r="C446" s="55" t="str">
        <f>PLANILHA!D54</f>
        <v>Meio-fio de pedra granítica.</v>
      </c>
      <c r="D446" s="26"/>
      <c r="E446" s="26"/>
      <c r="F446" s="26"/>
      <c r="G446" s="26"/>
      <c r="H446" s="26"/>
      <c r="I446" s="26">
        <f>PRODUCT(D446:H446)</f>
        <v>0</v>
      </c>
      <c r="J446" s="48"/>
    </row>
    <row r="447" spans="1:10" s="52" customFormat="1" x14ac:dyDescent="0.25">
      <c r="A447" s="25"/>
      <c r="B447" s="25"/>
      <c r="C447" s="27" t="s">
        <v>299</v>
      </c>
      <c r="D447" s="26">
        <v>84.6</v>
      </c>
      <c r="E447" s="26"/>
      <c r="F447" s="26"/>
      <c r="G447" s="26"/>
      <c r="H447" s="26"/>
      <c r="I447" s="26">
        <f>PRODUCT(D447:H447)</f>
        <v>84.6</v>
      </c>
      <c r="J447" s="48"/>
    </row>
    <row r="448" spans="1:10" s="52" customFormat="1" x14ac:dyDescent="0.25">
      <c r="A448" s="25"/>
      <c r="B448" s="25"/>
      <c r="C448" s="27" t="s">
        <v>300</v>
      </c>
      <c r="D448" s="26">
        <v>39</v>
      </c>
      <c r="E448" s="26"/>
      <c r="F448" s="26"/>
      <c r="G448" s="26"/>
      <c r="H448" s="26"/>
      <c r="I448" s="26">
        <f>PRODUCT(D448:H448)</f>
        <v>39</v>
      </c>
      <c r="J448" s="48"/>
    </row>
    <row r="449" spans="1:10" s="52" customFormat="1" x14ac:dyDescent="0.25">
      <c r="A449" s="25"/>
      <c r="B449" s="25"/>
      <c r="C449" s="27" t="s">
        <v>301</v>
      </c>
      <c r="D449" s="26">
        <v>5.4</v>
      </c>
      <c r="E449" s="26"/>
      <c r="F449" s="26"/>
      <c r="G449" s="26"/>
      <c r="H449" s="26"/>
      <c r="I449" s="26">
        <f t="shared" ref="I449:I460" si="36">PRODUCT(D449:H449)</f>
        <v>5.4</v>
      </c>
      <c r="J449" s="48"/>
    </row>
    <row r="450" spans="1:10" s="52" customFormat="1" x14ac:dyDescent="0.25">
      <c r="A450" s="25"/>
      <c r="B450" s="25"/>
      <c r="C450" s="33" t="s">
        <v>302</v>
      </c>
      <c r="D450" s="26">
        <v>47.86</v>
      </c>
      <c r="E450" s="26"/>
      <c r="F450" s="26"/>
      <c r="G450" s="26"/>
      <c r="H450" s="26"/>
      <c r="I450" s="26">
        <f t="shared" si="36"/>
        <v>47.86</v>
      </c>
      <c r="J450" s="48"/>
    </row>
    <row r="451" spans="1:10" s="52" customFormat="1" x14ac:dyDescent="0.25">
      <c r="A451" s="25"/>
      <c r="B451" s="25"/>
      <c r="C451" s="33" t="s">
        <v>303</v>
      </c>
      <c r="D451" s="26">
        <v>14.87</v>
      </c>
      <c r="E451" s="26"/>
      <c r="F451" s="26"/>
      <c r="G451" s="26"/>
      <c r="H451" s="26"/>
      <c r="I451" s="26">
        <f t="shared" si="36"/>
        <v>14.87</v>
      </c>
      <c r="J451" s="48"/>
    </row>
    <row r="452" spans="1:10" s="52" customFormat="1" x14ac:dyDescent="0.25">
      <c r="A452" s="25"/>
      <c r="B452" s="25"/>
      <c r="C452" s="33" t="s">
        <v>304</v>
      </c>
      <c r="D452" s="26">
        <v>40.72</v>
      </c>
      <c r="E452" s="26"/>
      <c r="F452" s="26"/>
      <c r="G452" s="26"/>
      <c r="H452" s="26"/>
      <c r="I452" s="26">
        <f t="shared" si="36"/>
        <v>40.72</v>
      </c>
      <c r="J452" s="48"/>
    </row>
    <row r="453" spans="1:10" s="52" customFormat="1" x14ac:dyDescent="0.25">
      <c r="A453" s="25"/>
      <c r="B453" s="25"/>
      <c r="C453" s="33" t="s">
        <v>305</v>
      </c>
      <c r="D453" s="26">
        <v>49</v>
      </c>
      <c r="E453" s="26"/>
      <c r="F453" s="26"/>
      <c r="G453" s="26"/>
      <c r="H453" s="26"/>
      <c r="I453" s="26">
        <f t="shared" si="36"/>
        <v>49</v>
      </c>
      <c r="J453" s="48"/>
    </row>
    <row r="454" spans="1:10" s="52" customFormat="1" x14ac:dyDescent="0.25">
      <c r="A454" s="25"/>
      <c r="B454" s="25"/>
      <c r="C454" s="33" t="s">
        <v>306</v>
      </c>
      <c r="D454" s="26">
        <v>60.67</v>
      </c>
      <c r="E454" s="26"/>
      <c r="F454" s="26"/>
      <c r="G454" s="26"/>
      <c r="H454" s="26"/>
      <c r="I454" s="26">
        <f t="shared" si="36"/>
        <v>60.67</v>
      </c>
      <c r="J454" s="48"/>
    </row>
    <row r="455" spans="1:10" s="52" customFormat="1" x14ac:dyDescent="0.25">
      <c r="A455" s="25"/>
      <c r="B455" s="25"/>
      <c r="C455" s="33" t="s">
        <v>307</v>
      </c>
      <c r="D455" s="26">
        <v>110.02</v>
      </c>
      <c r="E455" s="26"/>
      <c r="F455" s="26"/>
      <c r="G455" s="26"/>
      <c r="H455" s="26"/>
      <c r="I455" s="26">
        <f t="shared" si="36"/>
        <v>110.02</v>
      </c>
      <c r="J455" s="48"/>
    </row>
    <row r="456" spans="1:10" s="52" customFormat="1" x14ac:dyDescent="0.25">
      <c r="A456" s="25"/>
      <c r="B456" s="25"/>
      <c r="C456" s="33" t="s">
        <v>308</v>
      </c>
      <c r="D456" s="26">
        <v>87.77</v>
      </c>
      <c r="E456" s="26"/>
      <c r="F456" s="26"/>
      <c r="G456" s="26"/>
      <c r="H456" s="26"/>
      <c r="I456" s="26">
        <f t="shared" si="36"/>
        <v>87.77</v>
      </c>
      <c r="J456" s="48"/>
    </row>
    <row r="457" spans="1:10" s="52" customFormat="1" x14ac:dyDescent="0.25">
      <c r="A457" s="25"/>
      <c r="B457" s="25"/>
      <c r="C457" s="33" t="s">
        <v>309</v>
      </c>
      <c r="D457" s="26">
        <v>71</v>
      </c>
      <c r="E457" s="26"/>
      <c r="F457" s="26"/>
      <c r="G457" s="26"/>
      <c r="H457" s="26"/>
      <c r="I457" s="26">
        <f t="shared" si="36"/>
        <v>71</v>
      </c>
      <c r="J457" s="48"/>
    </row>
    <row r="458" spans="1:10" s="52" customFormat="1" x14ac:dyDescent="0.25">
      <c r="A458" s="25"/>
      <c r="B458" s="25"/>
      <c r="C458" s="33" t="s">
        <v>310</v>
      </c>
      <c r="D458" s="26">
        <v>35.119999999999997</v>
      </c>
      <c r="E458" s="26"/>
      <c r="F458" s="26"/>
      <c r="G458" s="26"/>
      <c r="H458" s="26"/>
      <c r="I458" s="26">
        <f t="shared" si="36"/>
        <v>35.119999999999997</v>
      </c>
      <c r="J458" s="48"/>
    </row>
    <row r="459" spans="1:10" s="52" customFormat="1" x14ac:dyDescent="0.25">
      <c r="A459" s="25"/>
      <c r="B459" s="25"/>
      <c r="C459" s="33" t="s">
        <v>311</v>
      </c>
      <c r="D459" s="26">
        <v>178.69</v>
      </c>
      <c r="E459" s="26"/>
      <c r="F459" s="26"/>
      <c r="G459" s="26"/>
      <c r="H459" s="26"/>
      <c r="I459" s="26">
        <f t="shared" si="36"/>
        <v>178.69</v>
      </c>
      <c r="J459" s="48"/>
    </row>
    <row r="460" spans="1:10" s="52" customFormat="1" x14ac:dyDescent="0.25">
      <c r="A460" s="25"/>
      <c r="B460" s="25"/>
      <c r="C460" s="33" t="s">
        <v>313</v>
      </c>
      <c r="D460" s="26">
        <v>104.35</v>
      </c>
      <c r="E460" s="26"/>
      <c r="F460" s="26"/>
      <c r="G460" s="26"/>
      <c r="H460" s="26"/>
      <c r="I460" s="26">
        <f t="shared" si="36"/>
        <v>104.35</v>
      </c>
      <c r="J460" s="48"/>
    </row>
    <row r="461" spans="1:10" s="52" customFormat="1" x14ac:dyDescent="0.25">
      <c r="A461" s="25"/>
      <c r="B461" s="25"/>
      <c r="C461" s="30" t="s">
        <v>51</v>
      </c>
      <c r="D461" s="31"/>
      <c r="E461" s="32"/>
      <c r="F461" s="32"/>
      <c r="G461" s="32"/>
      <c r="H461" s="32"/>
      <c r="I461" s="31">
        <f>SUM(I446:I460)</f>
        <v>929.07</v>
      </c>
      <c r="J461" s="20" t="s">
        <v>22</v>
      </c>
    </row>
    <row r="462" spans="1:10" s="52" customFormat="1" x14ac:dyDescent="0.25">
      <c r="A462" s="57"/>
      <c r="B462" s="57"/>
      <c r="C462" s="58"/>
      <c r="D462" s="59"/>
      <c r="E462" s="60"/>
      <c r="F462" s="60"/>
      <c r="G462" s="60"/>
      <c r="H462" s="60"/>
      <c r="I462" s="59"/>
      <c r="J462" s="61"/>
    </row>
    <row r="463" spans="1:10" s="52" customFormat="1" ht="78.75" customHeight="1" x14ac:dyDescent="0.25">
      <c r="A463" s="195" t="str">
        <f>PLANILHA!C55</f>
        <v xml:space="preserve">73790/004 </v>
      </c>
      <c r="B463" s="195" t="str">
        <f>PLANILHA!A55</f>
        <v>3.5</v>
      </c>
      <c r="C463" s="55" t="str">
        <f>PLANILHA!D55</f>
        <v>Reassentamento de paralelepípedo, sobre colchão de pó de pedra, espessura de 10 cm, rejuntado com argamassa 1:3(cimento e areia), considerando o reaproveitamento da pedra.</v>
      </c>
      <c r="D463" s="26"/>
      <c r="E463" s="26"/>
      <c r="F463" s="26"/>
      <c r="G463" s="26">
        <v>266.60000000000002</v>
      </c>
      <c r="H463" s="26"/>
      <c r="I463" s="26">
        <f>PRODUCT(D463:H463)</f>
        <v>266.60000000000002</v>
      </c>
      <c r="J463" s="48"/>
    </row>
    <row r="464" spans="1:10" s="52" customFormat="1" x14ac:dyDescent="0.25">
      <c r="A464" s="25"/>
      <c r="B464" s="25"/>
      <c r="C464" s="30" t="s">
        <v>51</v>
      </c>
      <c r="D464" s="31"/>
      <c r="E464" s="32"/>
      <c r="F464" s="32"/>
      <c r="G464" s="32"/>
      <c r="H464" s="32"/>
      <c r="I464" s="31">
        <f>SUM(I463:I463)</f>
        <v>266.60000000000002</v>
      </c>
      <c r="J464" s="20" t="s">
        <v>15</v>
      </c>
    </row>
    <row r="465" spans="1:10" x14ac:dyDescent="0.25">
      <c r="A465" s="533" t="s">
        <v>346</v>
      </c>
      <c r="B465" s="534"/>
      <c r="C465" s="535"/>
      <c r="D465" s="535"/>
      <c r="E465" s="535"/>
      <c r="F465" s="535"/>
      <c r="G465" s="535"/>
      <c r="H465" s="535"/>
      <c r="I465" s="535"/>
      <c r="J465" s="536"/>
    </row>
    <row r="466" spans="1:10" x14ac:dyDescent="0.25">
      <c r="A466" s="25"/>
      <c r="B466" s="25"/>
      <c r="C466" s="169"/>
      <c r="D466" s="47"/>
      <c r="E466" s="28"/>
      <c r="F466" s="28"/>
      <c r="G466" s="28"/>
      <c r="H466" s="28"/>
      <c r="I466" s="47"/>
      <c r="J466" s="29"/>
    </row>
    <row r="467" spans="1:10" ht="38.25" x14ac:dyDescent="0.25">
      <c r="A467" s="67" t="str">
        <f>PLANILHA!C57</f>
        <v>73965/010</v>
      </c>
      <c r="B467" s="67" t="str">
        <f>PLANILHA!A57</f>
        <v>4.1</v>
      </c>
      <c r="C467" s="55" t="str">
        <f>PLANILHA!D57</f>
        <v>Escavaçao manual de vala em material de 1A categoria ate 1,5m excluindo esgotamento/escoramento</v>
      </c>
      <c r="D467" s="170">
        <f>317.99-30</f>
        <v>287.99</v>
      </c>
      <c r="E467" s="41">
        <v>0.3</v>
      </c>
      <c r="F467" s="41">
        <v>0.3</v>
      </c>
      <c r="G467" s="41"/>
      <c r="H467" s="41"/>
      <c r="I467" s="42">
        <f>D467*E467*F467</f>
        <v>25.9191</v>
      </c>
      <c r="J467" s="48"/>
    </row>
    <row r="468" spans="1:10" x14ac:dyDescent="0.25">
      <c r="A468" s="62"/>
      <c r="B468" s="62"/>
      <c r="C468" s="171"/>
      <c r="D468" s="170"/>
      <c r="E468" s="41"/>
      <c r="F468" s="41"/>
      <c r="G468" s="41"/>
      <c r="H468" s="41"/>
      <c r="I468" s="42"/>
      <c r="J468" s="48"/>
    </row>
    <row r="469" spans="1:10" x14ac:dyDescent="0.25">
      <c r="A469" s="25"/>
      <c r="B469" s="25"/>
      <c r="C469" s="173" t="s">
        <v>51</v>
      </c>
      <c r="D469" s="121"/>
      <c r="E469" s="122"/>
      <c r="F469" s="122"/>
      <c r="G469" s="122"/>
      <c r="H469" s="122"/>
      <c r="I469" s="121">
        <f>I467</f>
        <v>25.9191</v>
      </c>
      <c r="J469" s="123" t="s">
        <v>120</v>
      </c>
    </row>
    <row r="470" spans="1:10" x14ac:dyDescent="0.25">
      <c r="A470" s="25"/>
      <c r="B470" s="25"/>
      <c r="C470" s="171"/>
      <c r="D470" s="115"/>
      <c r="E470" s="26"/>
      <c r="F470" s="26"/>
      <c r="G470" s="26"/>
      <c r="H470" s="26"/>
      <c r="I470" s="26"/>
      <c r="J470" s="48"/>
    </row>
    <row r="471" spans="1:10" ht="63.75" x14ac:dyDescent="0.25">
      <c r="A471" s="113" t="str">
        <f>PLANILHA!C58</f>
        <v>04.03.030</v>
      </c>
      <c r="B471" s="113" t="str">
        <f>PLANILHA!A58</f>
        <v>4.2</v>
      </c>
      <c r="C471" s="185" t="str">
        <f>PLANILHA!D58</f>
        <v xml:space="preserve">Remocao de material de primeira categoria em caminhao carroceria, d.m.t. 20 km, inclusive carga e descarga manuais
</v>
      </c>
      <c r="D471" s="26"/>
      <c r="E471" s="44"/>
      <c r="F471" s="44"/>
      <c r="G471" s="44"/>
      <c r="H471" s="45"/>
      <c r="I471" s="26">
        <f>I469</f>
        <v>25.9191</v>
      </c>
      <c r="J471" s="29"/>
    </row>
    <row r="472" spans="1:10" x14ac:dyDescent="0.25">
      <c r="A472" s="174"/>
      <c r="B472" s="174"/>
      <c r="C472" s="176"/>
      <c r="D472" s="177"/>
      <c r="E472" s="177"/>
      <c r="F472" s="177"/>
      <c r="G472" s="177"/>
      <c r="H472" s="177"/>
      <c r="I472" s="177"/>
      <c r="J472" s="175"/>
    </row>
    <row r="473" spans="1:10" x14ac:dyDescent="0.25">
      <c r="A473" s="178"/>
      <c r="B473" s="178"/>
      <c r="C473" s="179" t="s">
        <v>51</v>
      </c>
      <c r="D473" s="180"/>
      <c r="E473" s="181"/>
      <c r="F473" s="181"/>
      <c r="G473" s="181"/>
      <c r="H473" s="181"/>
      <c r="I473" s="180">
        <f>I471</f>
        <v>25.9191</v>
      </c>
      <c r="J473" s="182" t="s">
        <v>117</v>
      </c>
    </row>
    <row r="474" spans="1:10" x14ac:dyDescent="0.25">
      <c r="A474" s="178"/>
      <c r="B474" s="178"/>
      <c r="C474" s="179" t="s">
        <v>354</v>
      </c>
      <c r="D474" s="180"/>
      <c r="E474" s="181"/>
      <c r="F474" s="181"/>
      <c r="G474" s="181"/>
      <c r="H474" s="181"/>
      <c r="I474" s="180">
        <f>I473*1.3</f>
        <v>33.694830000000003</v>
      </c>
      <c r="J474" s="182" t="s">
        <v>120</v>
      </c>
    </row>
    <row r="475" spans="1:10" x14ac:dyDescent="0.25">
      <c r="A475" s="25"/>
      <c r="B475" s="25"/>
      <c r="C475" s="169"/>
      <c r="D475" s="47"/>
      <c r="E475" s="28"/>
      <c r="F475" s="28"/>
      <c r="G475" s="28"/>
      <c r="H475" s="28"/>
      <c r="I475" s="47"/>
      <c r="J475" s="29"/>
    </row>
    <row r="476" spans="1:10" ht="63.75" x14ac:dyDescent="0.25">
      <c r="A476" s="113" t="str">
        <f>PLANILHA!C59</f>
        <v>06.03.140</v>
      </c>
      <c r="B476" s="113" t="str">
        <f>PLANILHA!A59</f>
        <v>4.3</v>
      </c>
      <c r="C476" s="159" t="str">
        <f>PLANILHA!D59</f>
        <v xml:space="preserve">Concreto armado pronto, fck 15 mpa,condicao b (nbr-12655),lancado em qualquer tipo de estrutura e adensado, inclusive forma, escoramento e ferragem.
</v>
      </c>
      <c r="D476" s="26">
        <f>317.99-30</f>
        <v>287.99</v>
      </c>
      <c r="E476" s="38">
        <v>0.04</v>
      </c>
      <c r="F476" s="38">
        <v>0.24</v>
      </c>
      <c r="G476" s="44"/>
      <c r="H476" s="45"/>
      <c r="I476" s="26">
        <f>D476*E476*F476</f>
        <v>2.7647040000000001</v>
      </c>
      <c r="J476" s="29"/>
    </row>
    <row r="477" spans="1:10" x14ac:dyDescent="0.25">
      <c r="A477" s="174"/>
      <c r="B477" s="174"/>
      <c r="C477" s="176"/>
      <c r="D477" s="177"/>
      <c r="E477" s="177"/>
      <c r="F477" s="177"/>
      <c r="G477" s="177"/>
      <c r="H477" s="177"/>
      <c r="I477" s="177"/>
      <c r="J477" s="175"/>
    </row>
    <row r="478" spans="1:10" x14ac:dyDescent="0.25">
      <c r="A478" s="178"/>
      <c r="B478" s="178"/>
      <c r="C478" s="179" t="s">
        <v>51</v>
      </c>
      <c r="D478" s="180"/>
      <c r="E478" s="181"/>
      <c r="F478" s="181"/>
      <c r="G478" s="181"/>
      <c r="H478" s="181"/>
      <c r="I478" s="180">
        <f>SUM(I476:I477)</f>
        <v>2.7647040000000001</v>
      </c>
      <c r="J478" s="182" t="s">
        <v>117</v>
      </c>
    </row>
    <row r="479" spans="1:10" x14ac:dyDescent="0.25">
      <c r="A479" s="25"/>
      <c r="B479" s="25"/>
      <c r="C479" s="169"/>
      <c r="D479" s="47"/>
      <c r="E479" s="28"/>
      <c r="F479" s="28"/>
      <c r="G479" s="28"/>
      <c r="H479" s="28"/>
      <c r="I479" s="47"/>
      <c r="J479" s="29"/>
    </row>
    <row r="480" spans="1:10" ht="55.5" customHeight="1" x14ac:dyDescent="0.25">
      <c r="A480" s="63" t="str">
        <f>PLANILHA!C60</f>
        <v>06.03.110</v>
      </c>
      <c r="B480" s="63" t="str">
        <f>PLANILHA!A60</f>
        <v>4.4</v>
      </c>
      <c r="C480" s="183" t="str">
        <f>PLANILHA!D60</f>
        <v xml:space="preserve">Concreto armado pronto, fck 15 mpa,condicao b (nbr-12655), lancado em lajes e adensado, inclusive forma, escoramento e ferragem.
</v>
      </c>
      <c r="D480" s="28">
        <f>317.99-30</f>
        <v>287.99</v>
      </c>
      <c r="E480" s="28">
        <v>0.3</v>
      </c>
      <c r="F480" s="28">
        <v>0.04</v>
      </c>
      <c r="G480" s="28"/>
      <c r="H480" s="28"/>
      <c r="I480" s="47">
        <f>D480*E480*F480</f>
        <v>3.4558800000000005</v>
      </c>
      <c r="J480" s="29"/>
    </row>
    <row r="481" spans="1:10" x14ac:dyDescent="0.25">
      <c r="A481" s="25"/>
      <c r="B481" s="174"/>
      <c r="C481" s="176"/>
      <c r="D481" s="177"/>
      <c r="E481" s="177"/>
      <c r="F481" s="177"/>
      <c r="G481" s="177"/>
      <c r="H481" s="177"/>
      <c r="I481" s="177"/>
      <c r="J481" s="175"/>
    </row>
    <row r="482" spans="1:10" x14ac:dyDescent="0.25">
      <c r="A482" s="184"/>
      <c r="B482" s="178"/>
      <c r="C482" s="179" t="s">
        <v>51</v>
      </c>
      <c r="D482" s="180"/>
      <c r="E482" s="181"/>
      <c r="F482" s="181"/>
      <c r="G482" s="181"/>
      <c r="H482" s="181"/>
      <c r="I482" s="180">
        <f>SUM(I480:I481)</f>
        <v>3.4558800000000005</v>
      </c>
      <c r="J482" s="182" t="s">
        <v>117</v>
      </c>
    </row>
    <row r="483" spans="1:10" x14ac:dyDescent="0.25">
      <c r="A483" s="25"/>
      <c r="B483" s="25"/>
      <c r="C483" s="169"/>
      <c r="D483" s="47"/>
      <c r="E483" s="28"/>
      <c r="F483" s="28"/>
      <c r="G483" s="28"/>
      <c r="H483" s="28"/>
      <c r="I483" s="47"/>
      <c r="J483" s="29"/>
    </row>
    <row r="484" spans="1:10" ht="24" x14ac:dyDescent="0.25">
      <c r="A484" s="63" t="str">
        <f>PLANILHA!C61</f>
        <v>73907/003</v>
      </c>
      <c r="B484" s="63" t="str">
        <f>PLANILHA!A61</f>
        <v>4.5</v>
      </c>
      <c r="C484" s="183" t="str">
        <f>PLANILHA!D61</f>
        <v>Contrapiso/Lastro de concreto 1:3:6 s/betoneira espessura - 5cm</v>
      </c>
      <c r="D484" s="47"/>
      <c r="E484" s="28"/>
      <c r="F484" s="28"/>
      <c r="G484" s="28"/>
      <c r="H484" s="28"/>
      <c r="I484" s="47"/>
      <c r="J484" s="29"/>
    </row>
    <row r="485" spans="1:10" x14ac:dyDescent="0.25">
      <c r="A485" s="25"/>
      <c r="B485" s="25"/>
      <c r="C485" s="171"/>
      <c r="D485" s="172">
        <f>317.99-30</f>
        <v>287.99</v>
      </c>
      <c r="E485" s="172">
        <v>0.3</v>
      </c>
      <c r="F485" s="172"/>
      <c r="G485" s="172"/>
      <c r="H485" s="172"/>
      <c r="I485" s="172">
        <f>PRODUCT(D485:H485)</f>
        <v>86.397000000000006</v>
      </c>
      <c r="J485" s="29"/>
    </row>
    <row r="486" spans="1:10" x14ac:dyDescent="0.25">
      <c r="A486" s="184"/>
      <c r="B486" s="178"/>
      <c r="C486" s="179" t="s">
        <v>51</v>
      </c>
      <c r="D486" s="180"/>
      <c r="E486" s="181"/>
      <c r="F486" s="181"/>
      <c r="G486" s="181"/>
      <c r="H486" s="181"/>
      <c r="I486" s="180">
        <f>I485</f>
        <v>86.397000000000006</v>
      </c>
      <c r="J486" s="182" t="s">
        <v>53</v>
      </c>
    </row>
    <row r="487" spans="1:10" x14ac:dyDescent="0.25">
      <c r="A487" s="25"/>
      <c r="B487" s="25"/>
      <c r="C487" s="169"/>
      <c r="D487" s="47"/>
      <c r="E487" s="28"/>
      <c r="F487" s="28"/>
      <c r="G487" s="28"/>
      <c r="H487" s="28"/>
      <c r="I487" s="47"/>
      <c r="J487" s="29"/>
    </row>
    <row r="488" spans="1:10" x14ac:dyDescent="0.25">
      <c r="A488" s="57"/>
      <c r="B488" s="57"/>
      <c r="C488" s="58"/>
      <c r="D488" s="59"/>
      <c r="E488" s="60"/>
      <c r="F488" s="60"/>
      <c r="G488" s="60"/>
      <c r="H488" s="60"/>
      <c r="I488" s="59"/>
      <c r="J488" s="61"/>
    </row>
  </sheetData>
  <mergeCells count="16">
    <mergeCell ref="A2:J2"/>
    <mergeCell ref="A3:H3"/>
    <mergeCell ref="I3:J3"/>
    <mergeCell ref="C4:J4"/>
    <mergeCell ref="C5:J5"/>
    <mergeCell ref="A4:B4"/>
    <mergeCell ref="A5:B5"/>
    <mergeCell ref="A465:J465"/>
    <mergeCell ref="A6:B6"/>
    <mergeCell ref="A7:B7"/>
    <mergeCell ref="A10:J10"/>
    <mergeCell ref="A313:J313"/>
    <mergeCell ref="A426:J426"/>
    <mergeCell ref="A8:J8"/>
    <mergeCell ref="C7:J7"/>
    <mergeCell ref="C6:J6"/>
  </mergeCells>
  <pageMargins left="0.70866141732283472" right="0" top="0" bottom="0" header="0.31496062992125984" footer="0.31496062992125984"/>
  <pageSetup scale="65" orientation="portrait" horizontalDpi="4294967295" verticalDpi="4294967295" r:id="rId1"/>
  <rowBreaks count="9" manualBreakCount="9">
    <brk id="59" max="9" man="1"/>
    <brk id="115" max="9" man="1"/>
    <brk id="175" max="9" man="1"/>
    <brk id="229" max="9" man="1"/>
    <brk id="282" max="9" man="1"/>
    <brk id="327" max="9" man="1"/>
    <brk id="369" max="9" man="1"/>
    <brk id="417" max="9" man="1"/>
    <brk id="469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view="pageBreakPreview" topLeftCell="A82" zoomScaleNormal="100" zoomScaleSheetLayoutView="100" workbookViewId="0">
      <selection activeCell="B3" sqref="B3:F3"/>
    </sheetView>
  </sheetViews>
  <sheetFormatPr defaultRowHeight="15" x14ac:dyDescent="0.25"/>
  <cols>
    <col min="1" max="1" width="13.140625" customWidth="1"/>
    <col min="2" max="2" width="42.5703125" customWidth="1"/>
    <col min="3" max="3" width="8.5703125" customWidth="1"/>
    <col min="4" max="4" width="9.28515625" bestFit="1" customWidth="1"/>
    <col min="5" max="5" width="9.42578125" customWidth="1"/>
    <col min="6" max="6" width="11.85546875" bestFit="1" customWidth="1"/>
  </cols>
  <sheetData>
    <row r="1" spans="1:6" ht="69.75" customHeight="1" x14ac:dyDescent="0.25">
      <c r="A1" s="518"/>
      <c r="B1" s="519"/>
      <c r="C1" s="519"/>
      <c r="D1" s="519"/>
      <c r="E1" s="519"/>
      <c r="F1" s="582"/>
    </row>
    <row r="2" spans="1:6" ht="16.5" x14ac:dyDescent="0.25">
      <c r="A2" s="583" t="s">
        <v>424</v>
      </c>
      <c r="B2" s="584"/>
      <c r="C2" s="584"/>
      <c r="D2" s="584"/>
      <c r="E2" s="585"/>
      <c r="F2" s="427">
        <v>41581</v>
      </c>
    </row>
    <row r="3" spans="1:6" ht="29.25" customHeight="1" x14ac:dyDescent="0.25">
      <c r="A3" s="428" t="s">
        <v>1</v>
      </c>
      <c r="B3" s="586" t="s">
        <v>68</v>
      </c>
      <c r="C3" s="587"/>
      <c r="D3" s="587"/>
      <c r="E3" s="587"/>
      <c r="F3" s="588"/>
    </row>
    <row r="4" spans="1:6" x14ac:dyDescent="0.25">
      <c r="A4" s="428" t="s">
        <v>2</v>
      </c>
      <c r="B4" s="589" t="s">
        <v>3</v>
      </c>
      <c r="C4" s="590"/>
      <c r="D4" s="590"/>
      <c r="E4" s="590"/>
      <c r="F4" s="591"/>
    </row>
    <row r="5" spans="1:6" x14ac:dyDescent="0.25">
      <c r="A5" s="428" t="s">
        <v>4</v>
      </c>
      <c r="B5" s="592" t="s">
        <v>425</v>
      </c>
      <c r="C5" s="593"/>
      <c r="D5" s="593"/>
      <c r="E5" s="593"/>
      <c r="F5" s="594"/>
    </row>
    <row r="6" spans="1:6" ht="15.75" thickBot="1" x14ac:dyDescent="0.3">
      <c r="A6" s="429" t="s">
        <v>5</v>
      </c>
      <c r="B6" s="595" t="s">
        <v>69</v>
      </c>
      <c r="C6" s="596"/>
      <c r="D6" s="596"/>
      <c r="E6" s="596"/>
      <c r="F6" s="597"/>
    </row>
    <row r="7" spans="1:6" x14ac:dyDescent="0.25">
      <c r="A7" s="249"/>
      <c r="B7" s="210" t="s">
        <v>388</v>
      </c>
      <c r="C7" s="211" t="s">
        <v>356</v>
      </c>
      <c r="D7" s="573"/>
      <c r="E7" s="573"/>
      <c r="F7" s="574"/>
    </row>
    <row r="8" spans="1:6" x14ac:dyDescent="0.25">
      <c r="A8" s="258"/>
      <c r="B8" s="212" t="s">
        <v>389</v>
      </c>
      <c r="C8" s="575" t="s">
        <v>390</v>
      </c>
      <c r="D8" s="576"/>
      <c r="E8" s="576"/>
      <c r="F8" s="577"/>
    </row>
    <row r="9" spans="1:6" x14ac:dyDescent="0.25">
      <c r="A9" s="251"/>
      <c r="B9" s="213" t="s">
        <v>391</v>
      </c>
      <c r="C9" s="214" t="s">
        <v>49</v>
      </c>
      <c r="D9" s="578" t="s">
        <v>392</v>
      </c>
      <c r="E9" s="579"/>
      <c r="F9" s="252">
        <f>F20</f>
        <v>2.16</v>
      </c>
    </row>
    <row r="10" spans="1:6" x14ac:dyDescent="0.25">
      <c r="A10" s="251"/>
      <c r="B10" s="213" t="s">
        <v>393</v>
      </c>
      <c r="C10" s="213">
        <v>1</v>
      </c>
      <c r="D10" s="215" t="s">
        <v>394</v>
      </c>
      <c r="E10" s="216" t="s">
        <v>395</v>
      </c>
      <c r="F10" s="252"/>
    </row>
    <row r="11" spans="1:6" x14ac:dyDescent="0.25">
      <c r="A11" s="251"/>
      <c r="B11" s="213"/>
      <c r="C11" s="213"/>
      <c r="D11" s="580" t="s">
        <v>396</v>
      </c>
      <c r="E11" s="581"/>
      <c r="F11" s="253"/>
    </row>
    <row r="12" spans="1:6" ht="25.5" x14ac:dyDescent="0.25">
      <c r="A12" s="254" t="s">
        <v>388</v>
      </c>
      <c r="B12" s="218" t="s">
        <v>397</v>
      </c>
      <c r="C12" s="218" t="s">
        <v>391</v>
      </c>
      <c r="D12" s="219" t="s">
        <v>398</v>
      </c>
      <c r="E12" s="219" t="s">
        <v>399</v>
      </c>
      <c r="F12" s="255" t="s">
        <v>400</v>
      </c>
    </row>
    <row r="13" spans="1:6" x14ac:dyDescent="0.25">
      <c r="A13" s="256"/>
      <c r="B13" s="220" t="s">
        <v>401</v>
      </c>
      <c r="C13" s="221"/>
      <c r="D13" s="222"/>
      <c r="E13" s="222"/>
      <c r="F13" s="257"/>
    </row>
    <row r="14" spans="1:6" x14ac:dyDescent="0.25">
      <c r="A14" s="291"/>
      <c r="B14" s="223"/>
      <c r="C14" s="224"/>
      <c r="D14" s="225"/>
      <c r="E14" s="226"/>
      <c r="F14" s="292"/>
    </row>
    <row r="15" spans="1:6" ht="25.5" x14ac:dyDescent="0.25">
      <c r="A15" s="251"/>
      <c r="B15" s="227"/>
      <c r="C15" s="228"/>
      <c r="D15" s="228"/>
      <c r="E15" s="218" t="s">
        <v>402</v>
      </c>
      <c r="F15" s="293">
        <f>SUM(F14:F14)</f>
        <v>0</v>
      </c>
    </row>
    <row r="16" spans="1:6" x14ac:dyDescent="0.25">
      <c r="A16" s="256"/>
      <c r="B16" s="220" t="s">
        <v>403</v>
      </c>
      <c r="C16" s="221"/>
      <c r="D16" s="222"/>
      <c r="E16" s="221"/>
      <c r="F16" s="294"/>
    </row>
    <row r="17" spans="1:6" x14ac:dyDescent="0.25">
      <c r="A17" s="291"/>
      <c r="B17" s="229"/>
      <c r="C17" s="230"/>
      <c r="D17" s="231"/>
      <c r="E17" s="232"/>
      <c r="F17" s="309"/>
    </row>
    <row r="18" spans="1:6" x14ac:dyDescent="0.25">
      <c r="A18" s="251">
        <v>6111</v>
      </c>
      <c r="B18" s="233" t="s">
        <v>404</v>
      </c>
      <c r="C18" s="228" t="s">
        <v>405</v>
      </c>
      <c r="D18" s="228">
        <v>7.2</v>
      </c>
      <c r="E18" s="232">
        <v>0.3</v>
      </c>
      <c r="F18" s="309">
        <f>D18*E18</f>
        <v>2.16</v>
      </c>
    </row>
    <row r="19" spans="1:6" ht="25.5" x14ac:dyDescent="0.25">
      <c r="A19" s="251"/>
      <c r="B19" s="234"/>
      <c r="C19" s="234"/>
      <c r="D19" s="228"/>
      <c r="E19" s="235" t="s">
        <v>406</v>
      </c>
      <c r="F19" s="293">
        <f>SUM(F17:F18)</f>
        <v>2.16</v>
      </c>
    </row>
    <row r="20" spans="1:6" ht="15.75" thickBot="1" x14ac:dyDescent="0.3">
      <c r="A20" s="265"/>
      <c r="B20" s="236"/>
      <c r="C20" s="237"/>
      <c r="D20" s="238"/>
      <c r="E20" s="239" t="s">
        <v>407</v>
      </c>
      <c r="F20" s="298">
        <f>F19+F15</f>
        <v>2.16</v>
      </c>
    </row>
    <row r="21" spans="1:6" ht="15.75" thickBot="1" x14ac:dyDescent="0.3"/>
    <row r="22" spans="1:6" x14ac:dyDescent="0.25">
      <c r="A22" s="249"/>
      <c r="B22" s="210" t="s">
        <v>388</v>
      </c>
      <c r="C22" s="250" t="s">
        <v>371</v>
      </c>
      <c r="D22" s="604"/>
      <c r="E22" s="605"/>
      <c r="F22" s="606"/>
    </row>
    <row r="23" spans="1:6" ht="31.5" customHeight="1" x14ac:dyDescent="0.25">
      <c r="A23" s="251"/>
      <c r="B23" s="212" t="s">
        <v>408</v>
      </c>
      <c r="C23" s="607" t="s">
        <v>409</v>
      </c>
      <c r="D23" s="608"/>
      <c r="E23" s="608"/>
      <c r="F23" s="609"/>
    </row>
    <row r="24" spans="1:6" x14ac:dyDescent="0.25">
      <c r="A24" s="251"/>
      <c r="B24" s="213" t="s">
        <v>391</v>
      </c>
      <c r="C24" s="214" t="s">
        <v>15</v>
      </c>
      <c r="D24" s="578" t="s">
        <v>392</v>
      </c>
      <c r="E24" s="579"/>
      <c r="F24" s="252">
        <f>F36</f>
        <v>11.059999999999999</v>
      </c>
    </row>
    <row r="25" spans="1:6" x14ac:dyDescent="0.25">
      <c r="A25" s="251"/>
      <c r="B25" s="213" t="s">
        <v>393</v>
      </c>
      <c r="C25" s="213">
        <v>1</v>
      </c>
      <c r="D25" s="215" t="s">
        <v>394</v>
      </c>
      <c r="E25" s="216" t="s">
        <v>395</v>
      </c>
      <c r="F25" s="252"/>
    </row>
    <row r="26" spans="1:6" x14ac:dyDescent="0.25">
      <c r="A26" s="251"/>
      <c r="B26" s="213"/>
      <c r="C26" s="213"/>
      <c r="D26" s="580" t="s">
        <v>396</v>
      </c>
      <c r="E26" s="581"/>
      <c r="F26" s="253"/>
    </row>
    <row r="27" spans="1:6" ht="25.5" x14ac:dyDescent="0.25">
      <c r="A27" s="254" t="s">
        <v>388</v>
      </c>
      <c r="B27" s="218" t="s">
        <v>397</v>
      </c>
      <c r="C27" s="218" t="s">
        <v>391</v>
      </c>
      <c r="D27" s="219" t="s">
        <v>398</v>
      </c>
      <c r="E27" s="219" t="s">
        <v>399</v>
      </c>
      <c r="F27" s="255" t="s">
        <v>400</v>
      </c>
    </row>
    <row r="28" spans="1:6" x14ac:dyDescent="0.25">
      <c r="A28" s="256"/>
      <c r="B28" s="220" t="s">
        <v>401</v>
      </c>
      <c r="C28" s="221"/>
      <c r="D28" s="222"/>
      <c r="E28" s="222"/>
      <c r="F28" s="257"/>
    </row>
    <row r="29" spans="1:6" x14ac:dyDescent="0.25">
      <c r="A29" s="258"/>
      <c r="B29" s="241"/>
      <c r="C29" s="243"/>
      <c r="D29" s="224"/>
      <c r="E29" s="224"/>
      <c r="F29" s="259"/>
    </row>
    <row r="30" spans="1:6" x14ac:dyDescent="0.25">
      <c r="A30" s="260"/>
      <c r="B30" s="242"/>
      <c r="C30" s="244"/>
      <c r="D30" s="224"/>
      <c r="E30" s="246"/>
      <c r="F30" s="261"/>
    </row>
    <row r="31" spans="1:6" ht="25.5" x14ac:dyDescent="0.25">
      <c r="A31" s="251"/>
      <c r="B31" s="227"/>
      <c r="C31" s="228"/>
      <c r="D31" s="228"/>
      <c r="E31" s="218" t="s">
        <v>402</v>
      </c>
      <c r="F31" s="262">
        <f>SUM(F30:F30)</f>
        <v>0</v>
      </c>
    </row>
    <row r="32" spans="1:6" x14ac:dyDescent="0.25">
      <c r="A32" s="256"/>
      <c r="B32" s="220" t="s">
        <v>410</v>
      </c>
      <c r="C32" s="221"/>
      <c r="D32" s="222"/>
      <c r="E32" s="221"/>
      <c r="F32" s="263"/>
    </row>
    <row r="33" spans="1:6" x14ac:dyDescent="0.25">
      <c r="A33" s="251">
        <v>4750</v>
      </c>
      <c r="B33" s="233" t="s">
        <v>411</v>
      </c>
      <c r="C33" s="228" t="s">
        <v>405</v>
      </c>
      <c r="D33" s="245">
        <v>10.039999999999999</v>
      </c>
      <c r="E33" s="247">
        <v>0.5</v>
      </c>
      <c r="F33" s="264">
        <f>D33*E33</f>
        <v>5.0199999999999996</v>
      </c>
    </row>
    <row r="34" spans="1:6" ht="35.25" customHeight="1" x14ac:dyDescent="0.25">
      <c r="A34" s="251">
        <v>6111</v>
      </c>
      <c r="B34" s="233" t="s">
        <v>404</v>
      </c>
      <c r="C34" s="228" t="s">
        <v>405</v>
      </c>
      <c r="D34" s="224">
        <v>7.55</v>
      </c>
      <c r="E34" s="247">
        <v>0.8</v>
      </c>
      <c r="F34" s="264">
        <f>D34*E34</f>
        <v>6.04</v>
      </c>
    </row>
    <row r="35" spans="1:6" ht="25.5" x14ac:dyDescent="0.25">
      <c r="A35" s="251"/>
      <c r="B35" s="234"/>
      <c r="C35" s="234"/>
      <c r="D35" s="228"/>
      <c r="E35" s="248" t="s">
        <v>406</v>
      </c>
      <c r="F35" s="262">
        <f>SUM(F33:F34)</f>
        <v>11.059999999999999</v>
      </c>
    </row>
    <row r="36" spans="1:6" ht="15.75" thickBot="1" x14ac:dyDescent="0.3">
      <c r="A36" s="265"/>
      <c r="B36" s="236"/>
      <c r="C36" s="237"/>
      <c r="D36" s="238"/>
      <c r="E36" s="239" t="s">
        <v>407</v>
      </c>
      <c r="F36" s="266">
        <f>SUM(F31,F35)</f>
        <v>11.059999999999999</v>
      </c>
    </row>
    <row r="37" spans="1:6" ht="15.75" thickBot="1" x14ac:dyDescent="0.3">
      <c r="A37" s="552"/>
      <c r="B37" s="552"/>
      <c r="C37" s="552"/>
      <c r="D37" s="552"/>
      <c r="E37" s="552"/>
      <c r="F37" s="552"/>
    </row>
    <row r="38" spans="1:6" x14ac:dyDescent="0.25">
      <c r="A38" s="304"/>
      <c r="B38" s="267" t="s">
        <v>388</v>
      </c>
      <c r="C38" s="211" t="s">
        <v>337</v>
      </c>
      <c r="D38" s="573"/>
      <c r="E38" s="573"/>
      <c r="F38" s="574"/>
    </row>
    <row r="39" spans="1:6" ht="30" customHeight="1" x14ac:dyDescent="0.25">
      <c r="A39" s="291"/>
      <c r="B39" s="268" t="s">
        <v>412</v>
      </c>
      <c r="C39" s="575" t="s">
        <v>413</v>
      </c>
      <c r="D39" s="576"/>
      <c r="E39" s="576"/>
      <c r="F39" s="577"/>
    </row>
    <row r="40" spans="1:6" x14ac:dyDescent="0.25">
      <c r="A40" s="251"/>
      <c r="B40" s="213" t="s">
        <v>391</v>
      </c>
      <c r="C40" s="214" t="s">
        <v>37</v>
      </c>
      <c r="D40" s="578" t="s">
        <v>392</v>
      </c>
      <c r="E40" s="579"/>
      <c r="F40" s="252">
        <f>F53</f>
        <v>66.405500000000004</v>
      </c>
    </row>
    <row r="41" spans="1:6" x14ac:dyDescent="0.25">
      <c r="A41" s="251"/>
      <c r="B41" s="213" t="s">
        <v>393</v>
      </c>
      <c r="C41" s="213">
        <v>1</v>
      </c>
      <c r="D41" s="215" t="s">
        <v>394</v>
      </c>
      <c r="E41" s="216" t="s">
        <v>395</v>
      </c>
      <c r="F41" s="252"/>
    </row>
    <row r="42" spans="1:6" x14ac:dyDescent="0.25">
      <c r="A42" s="251"/>
      <c r="B42" s="213"/>
      <c r="C42" s="213"/>
      <c r="D42" s="580" t="s">
        <v>396</v>
      </c>
      <c r="E42" s="581"/>
      <c r="F42" s="253"/>
    </row>
    <row r="43" spans="1:6" ht="25.5" x14ac:dyDescent="0.25">
      <c r="A43" s="254" t="s">
        <v>388</v>
      </c>
      <c r="B43" s="218" t="s">
        <v>397</v>
      </c>
      <c r="C43" s="218" t="s">
        <v>391</v>
      </c>
      <c r="D43" s="219" t="s">
        <v>398</v>
      </c>
      <c r="E43" s="219" t="s">
        <v>399</v>
      </c>
      <c r="F43" s="255" t="s">
        <v>400</v>
      </c>
    </row>
    <row r="44" spans="1:6" x14ac:dyDescent="0.25">
      <c r="A44" s="256"/>
      <c r="B44" s="220" t="s">
        <v>401</v>
      </c>
      <c r="C44" s="221"/>
      <c r="D44" s="222"/>
      <c r="E44" s="222"/>
      <c r="F44" s="257"/>
    </row>
    <row r="45" spans="1:6" ht="25.5" x14ac:dyDescent="0.25">
      <c r="A45" s="305"/>
      <c r="B45" s="269"/>
      <c r="C45" s="269"/>
      <c r="D45" s="269"/>
      <c r="E45" s="218" t="s">
        <v>402</v>
      </c>
      <c r="F45" s="262"/>
    </row>
    <row r="46" spans="1:6" x14ac:dyDescent="0.25">
      <c r="A46" s="256"/>
      <c r="B46" s="220" t="s">
        <v>414</v>
      </c>
      <c r="C46" s="221"/>
      <c r="D46" s="222"/>
      <c r="E46" s="221"/>
      <c r="F46" s="263"/>
    </row>
    <row r="47" spans="1:6" ht="25.5" x14ac:dyDescent="0.25">
      <c r="A47" s="251">
        <v>3366</v>
      </c>
      <c r="B47" s="217" t="s">
        <v>415</v>
      </c>
      <c r="C47" s="240" t="s">
        <v>405</v>
      </c>
      <c r="D47" s="224">
        <v>239.58</v>
      </c>
      <c r="E47" s="270">
        <v>0.25</v>
      </c>
      <c r="F47" s="264">
        <f>D47*E47</f>
        <v>59.895000000000003</v>
      </c>
    </row>
    <row r="48" spans="1:6" ht="25.5" x14ac:dyDescent="0.25">
      <c r="A48" s="251"/>
      <c r="B48" s="227"/>
      <c r="C48" s="228"/>
      <c r="D48" s="228"/>
      <c r="E48" s="235" t="s">
        <v>416</v>
      </c>
      <c r="F48" s="262">
        <f>SUM(F47)</f>
        <v>59.895000000000003</v>
      </c>
    </row>
    <row r="49" spans="1:6" x14ac:dyDescent="0.25">
      <c r="A49" s="306"/>
      <c r="B49" s="220" t="s">
        <v>403</v>
      </c>
      <c r="C49" s="221"/>
      <c r="D49" s="222"/>
      <c r="E49" s="221"/>
      <c r="F49" s="263"/>
    </row>
    <row r="50" spans="1:6" ht="46.5" customHeight="1" x14ac:dyDescent="0.25">
      <c r="A50" s="291">
        <v>4096</v>
      </c>
      <c r="B50" s="271" t="s">
        <v>417</v>
      </c>
      <c r="C50" s="240" t="s">
        <v>405</v>
      </c>
      <c r="D50" s="272">
        <v>19.34</v>
      </c>
      <c r="E50" s="232">
        <v>0.2</v>
      </c>
      <c r="F50" s="253">
        <f>D50*E50</f>
        <v>3.8680000000000003</v>
      </c>
    </row>
    <row r="51" spans="1:6" x14ac:dyDescent="0.25">
      <c r="A51" s="251">
        <v>6111</v>
      </c>
      <c r="B51" s="233" t="s">
        <v>418</v>
      </c>
      <c r="C51" s="228" t="s">
        <v>405</v>
      </c>
      <c r="D51" s="224">
        <v>7.55</v>
      </c>
      <c r="E51" s="247">
        <v>0.35</v>
      </c>
      <c r="F51" s="264">
        <f>D51*E51</f>
        <v>2.6424999999999996</v>
      </c>
    </row>
    <row r="52" spans="1:6" ht="25.5" x14ac:dyDescent="0.25">
      <c r="A52" s="291"/>
      <c r="B52" s="234"/>
      <c r="C52" s="234"/>
      <c r="D52" s="228"/>
      <c r="E52" s="235" t="s">
        <v>406</v>
      </c>
      <c r="F52" s="262">
        <f>SUM(F50:F51)</f>
        <v>6.5105000000000004</v>
      </c>
    </row>
    <row r="53" spans="1:6" ht="15.75" thickBot="1" x14ac:dyDescent="0.3">
      <c r="A53" s="307"/>
      <c r="B53" s="273"/>
      <c r="C53" s="273"/>
      <c r="D53" s="273"/>
      <c r="E53" s="273" t="s">
        <v>407</v>
      </c>
      <c r="F53" s="308">
        <f>F52+F48</f>
        <v>66.405500000000004</v>
      </c>
    </row>
    <row r="54" spans="1:6" ht="15.75" thickBot="1" x14ac:dyDescent="0.3">
      <c r="A54" s="553"/>
      <c r="B54" s="553"/>
      <c r="C54" s="553"/>
      <c r="D54" s="553"/>
      <c r="E54" s="553"/>
      <c r="F54" s="553"/>
    </row>
    <row r="55" spans="1:6" x14ac:dyDescent="0.25">
      <c r="A55" s="304"/>
      <c r="B55" s="267" t="s">
        <v>388</v>
      </c>
      <c r="C55" s="211" t="s">
        <v>384</v>
      </c>
      <c r="D55" s="604"/>
      <c r="E55" s="605"/>
      <c r="F55" s="606"/>
    </row>
    <row r="56" spans="1:6" ht="38.25" customHeight="1" x14ac:dyDescent="0.25">
      <c r="A56" s="291"/>
      <c r="B56" s="268" t="s">
        <v>412</v>
      </c>
      <c r="C56" s="575" t="s">
        <v>421</v>
      </c>
      <c r="D56" s="576"/>
      <c r="E56" s="576"/>
      <c r="F56" s="577"/>
    </row>
    <row r="57" spans="1:6" x14ac:dyDescent="0.25">
      <c r="A57" s="251"/>
      <c r="B57" s="213" t="s">
        <v>391</v>
      </c>
      <c r="C57" s="214" t="s">
        <v>405</v>
      </c>
      <c r="D57" s="578" t="s">
        <v>392</v>
      </c>
      <c r="E57" s="579"/>
      <c r="F57" s="252">
        <f>F69</f>
        <v>204.56</v>
      </c>
    </row>
    <row r="58" spans="1:6" x14ac:dyDescent="0.25">
      <c r="A58" s="251"/>
      <c r="B58" s="213" t="s">
        <v>393</v>
      </c>
      <c r="C58" s="213">
        <v>1</v>
      </c>
      <c r="D58" s="215" t="s">
        <v>394</v>
      </c>
      <c r="E58" s="216" t="s">
        <v>395</v>
      </c>
      <c r="F58" s="252"/>
    </row>
    <row r="59" spans="1:6" x14ac:dyDescent="0.25">
      <c r="A59" s="251"/>
      <c r="B59" s="213"/>
      <c r="C59" s="213"/>
      <c r="D59" s="580" t="s">
        <v>396</v>
      </c>
      <c r="E59" s="581"/>
      <c r="F59" s="253"/>
    </row>
    <row r="60" spans="1:6" ht="25.5" x14ac:dyDescent="0.25">
      <c r="A60" s="254" t="s">
        <v>388</v>
      </c>
      <c r="B60" s="218" t="s">
        <v>397</v>
      </c>
      <c r="C60" s="218" t="s">
        <v>391</v>
      </c>
      <c r="D60" s="219" t="s">
        <v>398</v>
      </c>
      <c r="E60" s="219" t="s">
        <v>399</v>
      </c>
      <c r="F60" s="255" t="s">
        <v>400</v>
      </c>
    </row>
    <row r="61" spans="1:6" x14ac:dyDescent="0.25">
      <c r="A61" s="256"/>
      <c r="B61" s="220" t="s">
        <v>401</v>
      </c>
      <c r="C61" s="221"/>
      <c r="D61" s="222"/>
      <c r="E61" s="222"/>
      <c r="F61" s="257"/>
    </row>
    <row r="62" spans="1:6" ht="25.5" x14ac:dyDescent="0.25">
      <c r="A62" s="291">
        <v>3366</v>
      </c>
      <c r="B62" s="217" t="s">
        <v>422</v>
      </c>
      <c r="C62" s="240" t="s">
        <v>405</v>
      </c>
      <c r="D62" s="240">
        <v>180</v>
      </c>
      <c r="E62" s="240">
        <v>1</v>
      </c>
      <c r="F62" s="392">
        <f>D62*E62</f>
        <v>180</v>
      </c>
    </row>
    <row r="63" spans="1:6" x14ac:dyDescent="0.25">
      <c r="A63" s="291"/>
      <c r="B63" s="217"/>
      <c r="C63" s="240"/>
      <c r="D63" s="240"/>
      <c r="E63" s="240"/>
      <c r="F63" s="392">
        <f>D63*E63</f>
        <v>0</v>
      </c>
    </row>
    <row r="64" spans="1:6" ht="25.5" x14ac:dyDescent="0.25">
      <c r="A64" s="393"/>
      <c r="B64" s="299"/>
      <c r="C64" s="300"/>
      <c r="D64" s="300"/>
      <c r="E64" s="218" t="s">
        <v>402</v>
      </c>
      <c r="F64" s="262">
        <f>SUM(F62:F63)</f>
        <v>180</v>
      </c>
    </row>
    <row r="65" spans="1:6" x14ac:dyDescent="0.25">
      <c r="A65" s="256"/>
      <c r="B65" s="220" t="s">
        <v>403</v>
      </c>
      <c r="C65" s="221"/>
      <c r="D65" s="222"/>
      <c r="E65" s="221"/>
      <c r="F65" s="263"/>
    </row>
    <row r="66" spans="1:6" x14ac:dyDescent="0.25">
      <c r="A66" s="291">
        <v>4096</v>
      </c>
      <c r="B66" s="271" t="s">
        <v>423</v>
      </c>
      <c r="C66" s="230" t="s">
        <v>405</v>
      </c>
      <c r="D66" s="231">
        <v>24.56</v>
      </c>
      <c r="E66" s="232">
        <v>1</v>
      </c>
      <c r="F66" s="309">
        <f>D66*E66</f>
        <v>24.56</v>
      </c>
    </row>
    <row r="67" spans="1:6" x14ac:dyDescent="0.25">
      <c r="A67" s="251"/>
      <c r="B67" s="271"/>
      <c r="C67" s="301"/>
      <c r="D67" s="302"/>
      <c r="E67" s="303"/>
      <c r="F67" s="394"/>
    </row>
    <row r="68" spans="1:6" ht="25.5" x14ac:dyDescent="0.25">
      <c r="A68" s="291"/>
      <c r="B68" s="234"/>
      <c r="C68" s="234"/>
      <c r="D68" s="228"/>
      <c r="E68" s="235" t="s">
        <v>406</v>
      </c>
      <c r="F68" s="262">
        <f>SUM(F66:F67)</f>
        <v>24.56</v>
      </c>
    </row>
    <row r="69" spans="1:6" ht="15.75" thickBot="1" x14ac:dyDescent="0.3">
      <c r="A69" s="307"/>
      <c r="B69" s="273"/>
      <c r="C69" s="273"/>
      <c r="D69" s="273"/>
      <c r="E69" s="273" t="s">
        <v>407</v>
      </c>
      <c r="F69" s="308">
        <f>SUM(F64,F68,)</f>
        <v>204.56</v>
      </c>
    </row>
    <row r="70" spans="1:6" ht="15.75" thickBot="1" x14ac:dyDescent="0.3">
      <c r="A70" s="552"/>
      <c r="B70" s="552"/>
      <c r="C70" s="552"/>
      <c r="D70" s="552"/>
      <c r="E70" s="552"/>
      <c r="F70" s="552"/>
    </row>
    <row r="71" spans="1:6" x14ac:dyDescent="0.25">
      <c r="A71" s="287"/>
      <c r="B71" s="274" t="s">
        <v>388</v>
      </c>
      <c r="C71" s="275" t="s">
        <v>21</v>
      </c>
      <c r="D71" s="598"/>
      <c r="E71" s="599"/>
      <c r="F71" s="600"/>
    </row>
    <row r="72" spans="1:6" ht="31.5" customHeight="1" x14ac:dyDescent="0.25">
      <c r="A72" s="288"/>
      <c r="B72" s="276" t="s">
        <v>389</v>
      </c>
      <c r="C72" s="601" t="s">
        <v>419</v>
      </c>
      <c r="D72" s="602"/>
      <c r="E72" s="602"/>
      <c r="F72" s="603"/>
    </row>
    <row r="73" spans="1:6" x14ac:dyDescent="0.25">
      <c r="A73" s="288"/>
      <c r="B73" s="277" t="s">
        <v>391</v>
      </c>
      <c r="C73" s="278" t="s">
        <v>49</v>
      </c>
      <c r="D73" s="561" t="s">
        <v>392</v>
      </c>
      <c r="E73" s="562"/>
      <c r="F73" s="289">
        <f>F83</f>
        <v>168.20799999999997</v>
      </c>
    </row>
    <row r="74" spans="1:6" x14ac:dyDescent="0.25">
      <c r="A74" s="288"/>
      <c r="B74" s="277" t="s">
        <v>393</v>
      </c>
      <c r="C74" s="277">
        <v>1</v>
      </c>
      <c r="D74" s="279" t="s">
        <v>394</v>
      </c>
      <c r="E74" s="280" t="s">
        <v>395</v>
      </c>
      <c r="F74" s="289"/>
    </row>
    <row r="75" spans="1:6" x14ac:dyDescent="0.25">
      <c r="A75" s="288"/>
      <c r="B75" s="277"/>
      <c r="C75" s="277"/>
      <c r="D75" s="563" t="s">
        <v>396</v>
      </c>
      <c r="E75" s="564"/>
      <c r="F75" s="290"/>
    </row>
    <row r="76" spans="1:6" ht="25.5" x14ac:dyDescent="0.25">
      <c r="A76" s="254" t="s">
        <v>388</v>
      </c>
      <c r="B76" s="218" t="s">
        <v>397</v>
      </c>
      <c r="C76" s="218" t="s">
        <v>391</v>
      </c>
      <c r="D76" s="219" t="s">
        <v>398</v>
      </c>
      <c r="E76" s="219" t="s">
        <v>399</v>
      </c>
      <c r="F76" s="255" t="s">
        <v>400</v>
      </c>
    </row>
    <row r="77" spans="1:6" x14ac:dyDescent="0.25">
      <c r="A77" s="256"/>
      <c r="B77" s="220" t="s">
        <v>401</v>
      </c>
      <c r="C77" s="221"/>
      <c r="D77" s="222"/>
      <c r="E77" s="222"/>
      <c r="F77" s="257"/>
    </row>
    <row r="78" spans="1:6" x14ac:dyDescent="0.25">
      <c r="A78" s="291"/>
      <c r="B78" s="223"/>
      <c r="C78" s="224"/>
      <c r="D78" s="225"/>
      <c r="E78" s="226"/>
      <c r="F78" s="292"/>
    </row>
    <row r="79" spans="1:6" ht="25.5" x14ac:dyDescent="0.25">
      <c r="A79" s="251"/>
      <c r="B79" s="227"/>
      <c r="C79" s="228"/>
      <c r="D79" s="228"/>
      <c r="E79" s="218" t="s">
        <v>402</v>
      </c>
      <c r="F79" s="293">
        <f>SUM(F78:F78)</f>
        <v>0</v>
      </c>
    </row>
    <row r="80" spans="1:6" x14ac:dyDescent="0.25">
      <c r="A80" s="256"/>
      <c r="B80" s="220" t="s">
        <v>403</v>
      </c>
      <c r="C80" s="221"/>
      <c r="D80" s="222"/>
      <c r="E80" s="221"/>
      <c r="F80" s="294"/>
    </row>
    <row r="81" spans="1:6" x14ac:dyDescent="0.25">
      <c r="A81" s="295">
        <v>6111</v>
      </c>
      <c r="B81" s="282" t="s">
        <v>404</v>
      </c>
      <c r="C81" s="283" t="s">
        <v>405</v>
      </c>
      <c r="D81" s="283">
        <v>7.02</v>
      </c>
      <c r="E81" s="284">
        <v>18.399999999999999</v>
      </c>
      <c r="F81" s="296">
        <f>E81*D81</f>
        <v>129.16799999999998</v>
      </c>
    </row>
    <row r="82" spans="1:6" x14ac:dyDescent="0.25">
      <c r="A82" s="297">
        <v>4750</v>
      </c>
      <c r="B82" s="285" t="s">
        <v>411</v>
      </c>
      <c r="C82" s="286" t="s">
        <v>420</v>
      </c>
      <c r="D82" s="231">
        <v>9.76</v>
      </c>
      <c r="E82" s="232">
        <v>4</v>
      </c>
      <c r="F82" s="296">
        <f>E82*D82</f>
        <v>39.04</v>
      </c>
    </row>
    <row r="83" spans="1:6" ht="25.5" x14ac:dyDescent="0.25">
      <c r="A83" s="251"/>
      <c r="B83" s="234"/>
      <c r="C83" s="234"/>
      <c r="D83" s="228"/>
      <c r="E83" s="235" t="s">
        <v>406</v>
      </c>
      <c r="F83" s="293">
        <f>SUM(F81:F82)</f>
        <v>168.20799999999997</v>
      </c>
    </row>
    <row r="84" spans="1:6" ht="15.75" thickBot="1" x14ac:dyDescent="0.3">
      <c r="A84" s="265"/>
      <c r="B84" s="236"/>
      <c r="C84" s="237"/>
      <c r="D84" s="238"/>
      <c r="E84" s="239" t="s">
        <v>407</v>
      </c>
      <c r="F84" s="298">
        <f>F83+F79</f>
        <v>168.20799999999997</v>
      </c>
    </row>
    <row r="85" spans="1:6" ht="15.75" thickBot="1" x14ac:dyDescent="0.3">
      <c r="A85" s="553"/>
      <c r="B85" s="553"/>
      <c r="C85" s="553"/>
      <c r="D85" s="553"/>
      <c r="E85" s="553"/>
      <c r="F85" s="553"/>
    </row>
    <row r="86" spans="1:6" x14ac:dyDescent="0.25">
      <c r="A86" s="287"/>
      <c r="B86" s="274" t="s">
        <v>388</v>
      </c>
      <c r="C86" s="275" t="s">
        <v>437</v>
      </c>
      <c r="D86" s="556"/>
      <c r="E86" s="556"/>
      <c r="F86" s="557"/>
    </row>
    <row r="87" spans="1:6" ht="51.75" customHeight="1" x14ac:dyDescent="0.25">
      <c r="A87" s="395"/>
      <c r="B87" s="276" t="s">
        <v>389</v>
      </c>
      <c r="C87" s="558" t="s">
        <v>438</v>
      </c>
      <c r="D87" s="559"/>
      <c r="E87" s="559"/>
      <c r="F87" s="560"/>
    </row>
    <row r="88" spans="1:6" x14ac:dyDescent="0.25">
      <c r="A88" s="288"/>
      <c r="B88" s="277" t="s">
        <v>391</v>
      </c>
      <c r="C88" s="278" t="s">
        <v>37</v>
      </c>
      <c r="D88" s="561" t="s">
        <v>392</v>
      </c>
      <c r="E88" s="562"/>
      <c r="F88" s="289">
        <f>F102</f>
        <v>190.8614</v>
      </c>
    </row>
    <row r="89" spans="1:6" x14ac:dyDescent="0.25">
      <c r="A89" s="288"/>
      <c r="B89" s="277" t="s">
        <v>393</v>
      </c>
      <c r="C89" s="277">
        <v>1</v>
      </c>
      <c r="D89" s="279" t="s">
        <v>394</v>
      </c>
      <c r="E89" s="280" t="s">
        <v>395</v>
      </c>
      <c r="F89" s="289"/>
    </row>
    <row r="90" spans="1:6" x14ac:dyDescent="0.25">
      <c r="A90" s="288"/>
      <c r="B90" s="277"/>
      <c r="C90" s="277"/>
      <c r="D90" s="563" t="s">
        <v>396</v>
      </c>
      <c r="E90" s="564"/>
      <c r="F90" s="290"/>
    </row>
    <row r="91" spans="1:6" ht="25.5" x14ac:dyDescent="0.25">
      <c r="A91" s="396" t="s">
        <v>388</v>
      </c>
      <c r="B91" s="316" t="s">
        <v>397</v>
      </c>
      <c r="C91" s="316" t="s">
        <v>391</v>
      </c>
      <c r="D91" s="317" t="s">
        <v>398</v>
      </c>
      <c r="E91" s="317" t="s">
        <v>399</v>
      </c>
      <c r="F91" s="397" t="s">
        <v>400</v>
      </c>
    </row>
    <row r="92" spans="1:6" x14ac:dyDescent="0.25">
      <c r="A92" s="398"/>
      <c r="B92" s="318" t="s">
        <v>401</v>
      </c>
      <c r="C92" s="319"/>
      <c r="D92" s="320"/>
      <c r="E92" s="320"/>
      <c r="F92" s="399"/>
    </row>
    <row r="93" spans="1:6" ht="38.25" x14ac:dyDescent="0.25">
      <c r="A93" s="400" t="s">
        <v>439</v>
      </c>
      <c r="B93" s="321" t="s">
        <v>440</v>
      </c>
      <c r="C93" s="125" t="s">
        <v>37</v>
      </c>
      <c r="D93" s="322">
        <v>186</v>
      </c>
      <c r="E93" s="323">
        <v>1</v>
      </c>
      <c r="F93" s="401">
        <f>E93*D93</f>
        <v>186</v>
      </c>
    </row>
    <row r="94" spans="1:6" ht="38.25" x14ac:dyDescent="0.25">
      <c r="A94" s="140" t="s">
        <v>324</v>
      </c>
      <c r="B94" s="124" t="s">
        <v>325</v>
      </c>
      <c r="C94" s="244" t="s">
        <v>326</v>
      </c>
      <c r="D94" s="324">
        <v>26.42</v>
      </c>
      <c r="E94" s="323">
        <v>7.0000000000000007E-2</v>
      </c>
      <c r="F94" s="401">
        <f>E94*D94</f>
        <v>1.8494000000000004</v>
      </c>
    </row>
    <row r="95" spans="1:6" ht="25.5" x14ac:dyDescent="0.25">
      <c r="A95" s="288"/>
      <c r="B95" s="325"/>
      <c r="C95" s="326"/>
      <c r="D95" s="326"/>
      <c r="E95" s="316" t="s">
        <v>402</v>
      </c>
      <c r="F95" s="402">
        <f>SUM(F93:F94)</f>
        <v>187.8494</v>
      </c>
    </row>
    <row r="96" spans="1:6" x14ac:dyDescent="0.25">
      <c r="A96" s="398"/>
      <c r="B96" s="318" t="s">
        <v>414</v>
      </c>
      <c r="C96" s="319"/>
      <c r="D96" s="320"/>
      <c r="E96" s="319"/>
      <c r="F96" s="403"/>
    </row>
    <row r="97" spans="1:6" x14ac:dyDescent="0.25">
      <c r="A97" s="288">
        <v>1</v>
      </c>
      <c r="B97" s="281"/>
      <c r="C97" s="327" t="s">
        <v>420</v>
      </c>
      <c r="D97" s="327">
        <v>0</v>
      </c>
      <c r="E97" s="328">
        <v>0</v>
      </c>
      <c r="F97" s="404">
        <f>D97*E97</f>
        <v>0</v>
      </c>
    </row>
    <row r="98" spans="1:6" ht="25.5" x14ac:dyDescent="0.25">
      <c r="A98" s="288"/>
      <c r="B98" s="325"/>
      <c r="C98" s="326"/>
      <c r="D98" s="326"/>
      <c r="E98" s="330" t="s">
        <v>441</v>
      </c>
      <c r="F98" s="402">
        <f>SUM(F97)</f>
        <v>0</v>
      </c>
    </row>
    <row r="99" spans="1:6" x14ac:dyDescent="0.25">
      <c r="A99" s="398"/>
      <c r="B99" s="318" t="s">
        <v>403</v>
      </c>
      <c r="C99" s="319"/>
      <c r="D99" s="320"/>
      <c r="E99" s="319"/>
      <c r="F99" s="403"/>
    </row>
    <row r="100" spans="1:6" x14ac:dyDescent="0.25">
      <c r="A100" s="405">
        <v>4750</v>
      </c>
      <c r="B100" s="281" t="s">
        <v>411</v>
      </c>
      <c r="C100" s="327" t="s">
        <v>420</v>
      </c>
      <c r="D100" s="245">
        <v>10.039999999999999</v>
      </c>
      <c r="E100" s="331">
        <v>0.3</v>
      </c>
      <c r="F100" s="290">
        <f>D100*E100</f>
        <v>3.0119999999999996</v>
      </c>
    </row>
    <row r="101" spans="1:6" ht="25.5" x14ac:dyDescent="0.25">
      <c r="A101" s="288"/>
      <c r="B101" s="329"/>
      <c r="C101" s="329"/>
      <c r="D101" s="326"/>
      <c r="E101" s="332" t="s">
        <v>406</v>
      </c>
      <c r="F101" s="402">
        <f>SUM(F100:F100)</f>
        <v>3.0119999999999996</v>
      </c>
    </row>
    <row r="102" spans="1:6" ht="15.75" thickBot="1" x14ac:dyDescent="0.3">
      <c r="A102" s="406"/>
      <c r="B102" s="333"/>
      <c r="C102" s="334"/>
      <c r="D102" s="335"/>
      <c r="E102" s="336" t="s">
        <v>407</v>
      </c>
      <c r="F102" s="407">
        <f>SUM(F95,F98,F101,)</f>
        <v>190.8614</v>
      </c>
    </row>
    <row r="103" spans="1:6" ht="15.75" thickBot="1" x14ac:dyDescent="0.3">
      <c r="A103" s="570"/>
      <c r="B103" s="570"/>
      <c r="C103" s="570"/>
      <c r="D103" s="570"/>
      <c r="E103" s="570"/>
      <c r="F103" s="570"/>
    </row>
    <row r="104" spans="1:6" x14ac:dyDescent="0.25">
      <c r="A104" s="408"/>
      <c r="B104" s="337" t="s">
        <v>388</v>
      </c>
      <c r="C104" s="338" t="s">
        <v>54</v>
      </c>
      <c r="D104" s="565"/>
      <c r="E104" s="565"/>
      <c r="F104" s="566"/>
    </row>
    <row r="105" spans="1:6" ht="36.75" customHeight="1" x14ac:dyDescent="0.25">
      <c r="A105" s="409"/>
      <c r="B105" s="339" t="s">
        <v>389</v>
      </c>
      <c r="C105" s="567" t="s">
        <v>442</v>
      </c>
      <c r="D105" s="568"/>
      <c r="E105" s="568"/>
      <c r="F105" s="569"/>
    </row>
    <row r="106" spans="1:6" x14ac:dyDescent="0.25">
      <c r="A106" s="409"/>
      <c r="B106" s="340" t="s">
        <v>391</v>
      </c>
      <c r="C106" s="341" t="s">
        <v>443</v>
      </c>
      <c r="D106" s="554" t="s">
        <v>392</v>
      </c>
      <c r="E106" s="555"/>
      <c r="F106" s="410">
        <f>F120</f>
        <v>204.14599999999999</v>
      </c>
    </row>
    <row r="107" spans="1:6" x14ac:dyDescent="0.25">
      <c r="A107" s="409"/>
      <c r="B107" s="340" t="s">
        <v>393</v>
      </c>
      <c r="C107" s="340">
        <v>1</v>
      </c>
      <c r="D107" s="342" t="s">
        <v>394</v>
      </c>
      <c r="E107" s="343" t="s">
        <v>395</v>
      </c>
      <c r="F107" s="410"/>
    </row>
    <row r="108" spans="1:6" x14ac:dyDescent="0.25">
      <c r="A108" s="409"/>
      <c r="B108" s="340"/>
      <c r="C108" s="340"/>
      <c r="D108" s="571" t="s">
        <v>396</v>
      </c>
      <c r="E108" s="572"/>
      <c r="F108" s="411"/>
    </row>
    <row r="109" spans="1:6" ht="25.5" x14ac:dyDescent="0.25">
      <c r="A109" s="412" t="s">
        <v>388</v>
      </c>
      <c r="B109" s="344" t="s">
        <v>397</v>
      </c>
      <c r="C109" s="344" t="s">
        <v>391</v>
      </c>
      <c r="D109" s="345" t="s">
        <v>398</v>
      </c>
      <c r="E109" s="345" t="s">
        <v>399</v>
      </c>
      <c r="F109" s="413" t="s">
        <v>400</v>
      </c>
    </row>
    <row r="110" spans="1:6" x14ac:dyDescent="0.25">
      <c r="A110" s="414"/>
      <c r="B110" s="346" t="s">
        <v>401</v>
      </c>
      <c r="C110" s="347"/>
      <c r="D110" s="348"/>
      <c r="E110" s="348"/>
      <c r="F110" s="415"/>
    </row>
    <row r="111" spans="1:6" ht="25.5" x14ac:dyDescent="0.25">
      <c r="A111" s="416" t="s">
        <v>444</v>
      </c>
      <c r="B111" s="131" t="s">
        <v>445</v>
      </c>
      <c r="C111" s="160" t="s">
        <v>326</v>
      </c>
      <c r="D111" s="349">
        <v>34.21</v>
      </c>
      <c r="E111" s="350">
        <v>1</v>
      </c>
      <c r="F111" s="417">
        <f t="shared" ref="F111:F117" si="0">E111*D111</f>
        <v>34.21</v>
      </c>
    </row>
    <row r="112" spans="1:6" ht="25.5" x14ac:dyDescent="0.25">
      <c r="A112" s="416">
        <v>79481</v>
      </c>
      <c r="B112" s="131" t="s">
        <v>446</v>
      </c>
      <c r="C112" s="160" t="s">
        <v>326</v>
      </c>
      <c r="D112" s="349">
        <v>15.09</v>
      </c>
      <c r="E112" s="350">
        <v>1</v>
      </c>
      <c r="F112" s="417">
        <f t="shared" si="0"/>
        <v>15.09</v>
      </c>
    </row>
    <row r="113" spans="1:6" ht="51" x14ac:dyDescent="0.25">
      <c r="A113" s="418">
        <v>72209</v>
      </c>
      <c r="B113" s="351" t="s">
        <v>447</v>
      </c>
      <c r="C113" s="160" t="s">
        <v>326</v>
      </c>
      <c r="D113" s="322">
        <v>12.34</v>
      </c>
      <c r="E113" s="352">
        <v>0.13</v>
      </c>
      <c r="F113" s="417">
        <f t="shared" si="0"/>
        <v>1.6042000000000001</v>
      </c>
    </row>
    <row r="114" spans="1:6" ht="51" x14ac:dyDescent="0.25">
      <c r="A114" s="419" t="s">
        <v>448</v>
      </c>
      <c r="B114" s="168" t="s">
        <v>449</v>
      </c>
      <c r="C114" s="353" t="s">
        <v>450</v>
      </c>
      <c r="D114" s="354">
        <v>91.94</v>
      </c>
      <c r="E114" s="352">
        <v>1</v>
      </c>
      <c r="F114" s="417">
        <f t="shared" si="0"/>
        <v>91.94</v>
      </c>
    </row>
    <row r="115" spans="1:6" ht="38.25" x14ac:dyDescent="0.25">
      <c r="A115" s="420" t="s">
        <v>324</v>
      </c>
      <c r="B115" s="159" t="s">
        <v>325</v>
      </c>
      <c r="C115" s="160" t="s">
        <v>326</v>
      </c>
      <c r="D115" s="354">
        <v>26.42</v>
      </c>
      <c r="E115" s="352">
        <v>1.44</v>
      </c>
      <c r="F115" s="417">
        <f t="shared" si="0"/>
        <v>38.044800000000002</v>
      </c>
    </row>
    <row r="116" spans="1:6" x14ac:dyDescent="0.25">
      <c r="A116" s="419" t="s">
        <v>451</v>
      </c>
      <c r="B116" s="168" t="s">
        <v>452</v>
      </c>
      <c r="C116" s="160" t="s">
        <v>326</v>
      </c>
      <c r="D116" s="354">
        <v>22.64</v>
      </c>
      <c r="E116" s="355">
        <v>1</v>
      </c>
      <c r="F116" s="417">
        <f t="shared" si="0"/>
        <v>22.64</v>
      </c>
    </row>
    <row r="117" spans="1:6" ht="51" x14ac:dyDescent="0.25">
      <c r="A117" s="419">
        <v>72209</v>
      </c>
      <c r="B117" s="168" t="s">
        <v>453</v>
      </c>
      <c r="C117" s="353" t="s">
        <v>454</v>
      </c>
      <c r="D117" s="354">
        <v>12.34</v>
      </c>
      <c r="E117" s="355">
        <v>0.05</v>
      </c>
      <c r="F117" s="417">
        <f t="shared" si="0"/>
        <v>0.61699999999999999</v>
      </c>
    </row>
    <row r="118" spans="1:6" ht="25.5" x14ac:dyDescent="0.25">
      <c r="A118" s="409"/>
      <c r="B118" s="356"/>
      <c r="C118" s="357"/>
      <c r="D118" s="357"/>
      <c r="E118" s="344" t="s">
        <v>402</v>
      </c>
      <c r="F118" s="421">
        <f>SUM(F111:F117)</f>
        <v>204.14599999999999</v>
      </c>
    </row>
    <row r="119" spans="1:6" x14ac:dyDescent="0.25">
      <c r="A119" s="422"/>
      <c r="B119" s="358"/>
      <c r="C119" s="358"/>
      <c r="D119" s="359"/>
      <c r="E119" s="359"/>
      <c r="F119" s="423"/>
    </row>
    <row r="120" spans="1:6" ht="15.75" thickBot="1" x14ac:dyDescent="0.3">
      <c r="A120" s="424"/>
      <c r="B120" s="360"/>
      <c r="C120" s="360"/>
      <c r="D120" s="361"/>
      <c r="E120" s="362" t="s">
        <v>407</v>
      </c>
      <c r="F120" s="425">
        <f>F118</f>
        <v>204.14599999999999</v>
      </c>
    </row>
    <row r="121" spans="1:6" ht="15.75" thickBot="1" x14ac:dyDescent="0.3">
      <c r="A121" s="426"/>
      <c r="B121" s="426"/>
      <c r="C121" s="426"/>
      <c r="D121" s="426"/>
      <c r="E121" s="426"/>
      <c r="F121" s="426"/>
    </row>
    <row r="122" spans="1:6" x14ac:dyDescent="0.25">
      <c r="A122" s="249"/>
      <c r="B122" s="210" t="s">
        <v>388</v>
      </c>
      <c r="C122" s="211" t="s">
        <v>102</v>
      </c>
      <c r="D122" s="573"/>
      <c r="E122" s="573"/>
      <c r="F122" s="574"/>
    </row>
    <row r="123" spans="1:6" ht="35.25" customHeight="1" x14ac:dyDescent="0.25">
      <c r="A123" s="258"/>
      <c r="B123" s="212" t="s">
        <v>389</v>
      </c>
      <c r="C123" s="575" t="s">
        <v>456</v>
      </c>
      <c r="D123" s="576"/>
      <c r="E123" s="576"/>
      <c r="F123" s="577"/>
    </row>
    <row r="124" spans="1:6" x14ac:dyDescent="0.25">
      <c r="A124" s="251"/>
      <c r="B124" s="213" t="s">
        <v>391</v>
      </c>
      <c r="C124" s="214" t="s">
        <v>15</v>
      </c>
      <c r="D124" s="578" t="s">
        <v>392</v>
      </c>
      <c r="E124" s="579"/>
      <c r="F124" s="252">
        <f>F137</f>
        <v>0</v>
      </c>
    </row>
    <row r="125" spans="1:6" x14ac:dyDescent="0.25">
      <c r="A125" s="251"/>
      <c r="B125" s="213" t="s">
        <v>393</v>
      </c>
      <c r="C125" s="213">
        <v>1</v>
      </c>
      <c r="D125" s="215" t="s">
        <v>394</v>
      </c>
      <c r="E125" s="216" t="s">
        <v>395</v>
      </c>
      <c r="F125" s="252"/>
    </row>
    <row r="126" spans="1:6" x14ac:dyDescent="0.25">
      <c r="A126" s="251"/>
      <c r="B126" s="213"/>
      <c r="C126" s="213"/>
      <c r="D126" s="580" t="s">
        <v>396</v>
      </c>
      <c r="E126" s="581"/>
      <c r="F126" s="253"/>
    </row>
    <row r="127" spans="1:6" ht="25.5" x14ac:dyDescent="0.25">
      <c r="A127" s="254" t="s">
        <v>388</v>
      </c>
      <c r="B127" s="218" t="s">
        <v>397</v>
      </c>
      <c r="C127" s="218" t="s">
        <v>391</v>
      </c>
      <c r="D127" s="219" t="s">
        <v>398</v>
      </c>
      <c r="E127" s="219" t="s">
        <v>399</v>
      </c>
      <c r="F127" s="255" t="s">
        <v>400</v>
      </c>
    </row>
    <row r="128" spans="1:6" x14ac:dyDescent="0.25">
      <c r="A128" s="256"/>
      <c r="B128" s="220" t="s">
        <v>401</v>
      </c>
      <c r="C128" s="221"/>
      <c r="D128" s="222"/>
      <c r="E128" s="222"/>
      <c r="F128" s="257"/>
    </row>
    <row r="129" spans="1:6" ht="38.25" x14ac:dyDescent="0.25">
      <c r="A129" s="369" t="s">
        <v>457</v>
      </c>
      <c r="B129" s="363" t="s">
        <v>458</v>
      </c>
      <c r="C129" s="364" t="s">
        <v>32</v>
      </c>
      <c r="D129" s="283">
        <v>44</v>
      </c>
      <c r="E129" s="365">
        <v>1</v>
      </c>
      <c r="F129" s="370">
        <f>E129*D129</f>
        <v>44</v>
      </c>
    </row>
    <row r="130" spans="1:6" x14ac:dyDescent="0.25">
      <c r="A130" s="371">
        <v>6011</v>
      </c>
      <c r="B130" s="366" t="s">
        <v>459</v>
      </c>
      <c r="C130" s="367" t="s">
        <v>326</v>
      </c>
      <c r="D130" s="245">
        <v>464.75</v>
      </c>
      <c r="E130" s="365">
        <v>0.05</v>
      </c>
      <c r="F130" s="370">
        <f>E130*D130</f>
        <v>23.237500000000001</v>
      </c>
    </row>
    <row r="131" spans="1:6" x14ac:dyDescent="0.25">
      <c r="A131" s="291"/>
      <c r="B131" s="223"/>
      <c r="C131" s="368"/>
      <c r="D131" s="224"/>
      <c r="E131" s="226"/>
      <c r="F131" s="292"/>
    </row>
    <row r="132" spans="1:6" ht="26.25" thickBot="1" x14ac:dyDescent="0.3">
      <c r="A132" s="372"/>
      <c r="B132" s="373"/>
      <c r="C132" s="374"/>
      <c r="D132" s="374"/>
      <c r="E132" s="375" t="s">
        <v>402</v>
      </c>
      <c r="F132" s="376">
        <f>SUM(F129:F131)</f>
        <v>67.237499999999997</v>
      </c>
    </row>
  </sheetData>
  <mergeCells count="43">
    <mergeCell ref="D26:E26"/>
    <mergeCell ref="D7:F7"/>
    <mergeCell ref="C8:F8"/>
    <mergeCell ref="D9:E9"/>
    <mergeCell ref="D11:E11"/>
    <mergeCell ref="B6:F6"/>
    <mergeCell ref="D73:E73"/>
    <mergeCell ref="D75:E75"/>
    <mergeCell ref="D38:F38"/>
    <mergeCell ref="C39:F39"/>
    <mergeCell ref="D40:E40"/>
    <mergeCell ref="D42:E42"/>
    <mergeCell ref="D71:F71"/>
    <mergeCell ref="C72:F72"/>
    <mergeCell ref="D55:F55"/>
    <mergeCell ref="C56:F56"/>
    <mergeCell ref="D57:E57"/>
    <mergeCell ref="D59:E59"/>
    <mergeCell ref="D22:F22"/>
    <mergeCell ref="C23:F23"/>
    <mergeCell ref="D24:E24"/>
    <mergeCell ref="A1:F1"/>
    <mergeCell ref="A2:E2"/>
    <mergeCell ref="B3:F3"/>
    <mergeCell ref="B4:F4"/>
    <mergeCell ref="B5:F5"/>
    <mergeCell ref="D108:E108"/>
    <mergeCell ref="D122:F122"/>
    <mergeCell ref="C123:F123"/>
    <mergeCell ref="D124:E124"/>
    <mergeCell ref="D126:E126"/>
    <mergeCell ref="A37:F37"/>
    <mergeCell ref="A54:F54"/>
    <mergeCell ref="A70:F70"/>
    <mergeCell ref="A85:F85"/>
    <mergeCell ref="D106:E106"/>
    <mergeCell ref="D86:F86"/>
    <mergeCell ref="C87:F87"/>
    <mergeCell ref="D88:E88"/>
    <mergeCell ref="D90:E90"/>
    <mergeCell ref="D104:F104"/>
    <mergeCell ref="C105:F105"/>
    <mergeCell ref="A103:F103"/>
  </mergeCells>
  <pageMargins left="0.511811024" right="0.511811024" top="0.78740157499999996" bottom="0.78740157499999996" header="0.31496062000000002" footer="0.31496062000000002"/>
  <pageSetup scale="99" orientation="portrait" r:id="rId1"/>
  <rowBreaks count="3" manualBreakCount="3">
    <brk id="35" max="5" man="1"/>
    <brk id="70" max="16383" man="1"/>
    <brk id="10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87" zoomScaleNormal="100" zoomScaleSheetLayoutView="87" workbookViewId="0">
      <selection activeCell="G26" sqref="G26"/>
    </sheetView>
  </sheetViews>
  <sheetFormatPr defaultRowHeight="15" x14ac:dyDescent="0.25"/>
  <cols>
    <col min="1" max="1" width="9" customWidth="1"/>
    <col min="2" max="2" width="7.85546875" customWidth="1"/>
    <col min="3" max="3" width="19.7109375" customWidth="1"/>
    <col min="6" max="6" width="12.85546875" customWidth="1"/>
    <col min="7" max="7" width="38.140625" customWidth="1"/>
  </cols>
  <sheetData>
    <row r="1" spans="1:7" ht="88.5" customHeight="1" x14ac:dyDescent="0.25">
      <c r="A1" s="618" t="s">
        <v>474</v>
      </c>
      <c r="B1" s="619"/>
      <c r="C1" s="619"/>
      <c r="D1" s="619"/>
      <c r="E1" s="619"/>
      <c r="F1" s="619"/>
      <c r="G1" s="431"/>
    </row>
    <row r="2" spans="1:7" ht="16.5" x14ac:dyDescent="0.25">
      <c r="A2" s="620" t="s">
        <v>0</v>
      </c>
      <c r="B2" s="621"/>
      <c r="C2" s="621"/>
      <c r="D2" s="621"/>
      <c r="E2" s="621"/>
      <c r="F2" s="621"/>
      <c r="G2" s="432">
        <v>41581</v>
      </c>
    </row>
    <row r="3" spans="1:7" ht="15" customHeight="1" x14ac:dyDescent="0.25">
      <c r="A3" s="622" t="s">
        <v>1</v>
      </c>
      <c r="B3" s="623"/>
      <c r="C3" s="624" t="s">
        <v>475</v>
      </c>
      <c r="D3" s="625"/>
      <c r="E3" s="625"/>
      <c r="F3" s="625"/>
      <c r="G3" s="626"/>
    </row>
    <row r="4" spans="1:7" x14ac:dyDescent="0.25">
      <c r="A4" s="622" t="s">
        <v>2</v>
      </c>
      <c r="B4" s="623"/>
      <c r="C4" s="627" t="s">
        <v>3</v>
      </c>
      <c r="D4" s="627"/>
      <c r="E4" s="627"/>
      <c r="F4" s="627"/>
      <c r="G4" s="628"/>
    </row>
    <row r="5" spans="1:7" x14ac:dyDescent="0.25">
      <c r="A5" s="622" t="s">
        <v>4</v>
      </c>
      <c r="B5" s="623"/>
      <c r="C5" s="627" t="s">
        <v>460</v>
      </c>
      <c r="D5" s="627"/>
      <c r="E5" s="627"/>
      <c r="F5" s="627"/>
      <c r="G5" s="628"/>
    </row>
    <row r="6" spans="1:7" x14ac:dyDescent="0.25">
      <c r="A6" s="622" t="s">
        <v>5</v>
      </c>
      <c r="B6" s="623"/>
      <c r="C6" s="629" t="s">
        <v>476</v>
      </c>
      <c r="D6" s="630"/>
      <c r="E6" s="630"/>
      <c r="F6" s="630"/>
      <c r="G6" s="631"/>
    </row>
    <row r="7" spans="1:7" x14ac:dyDescent="0.25">
      <c r="A7" s="433" t="s">
        <v>6</v>
      </c>
      <c r="B7" s="632" t="s">
        <v>8</v>
      </c>
      <c r="C7" s="633"/>
      <c r="D7" s="633"/>
      <c r="E7" s="633"/>
      <c r="F7" s="634"/>
      <c r="G7" s="434" t="s">
        <v>477</v>
      </c>
    </row>
    <row r="8" spans="1:7" x14ac:dyDescent="0.25">
      <c r="A8" s="435">
        <v>1</v>
      </c>
      <c r="B8" s="617"/>
      <c r="C8" s="617"/>
      <c r="D8" s="617"/>
      <c r="E8" s="617"/>
      <c r="F8" s="617"/>
      <c r="G8" s="436"/>
    </row>
    <row r="9" spans="1:7" x14ac:dyDescent="0.25">
      <c r="A9" s="437" t="str">
        <f>PLANILHA!A10</f>
        <v>1.0</v>
      </c>
      <c r="B9" s="614" t="str">
        <f>PLANILHA!D10</f>
        <v>SERVIÇOS PRELIMINARES</v>
      </c>
      <c r="C9" s="615"/>
      <c r="D9" s="615"/>
      <c r="E9" s="615"/>
      <c r="F9" s="616"/>
      <c r="G9" s="438">
        <f>PLANILHA!H10</f>
        <v>96138.367019999991</v>
      </c>
    </row>
    <row r="10" spans="1:7" x14ac:dyDescent="0.25">
      <c r="A10" s="437" t="str">
        <f>PLANILHA!A31</f>
        <v>2.0</v>
      </c>
      <c r="B10" s="614" t="str">
        <f>PLANILHA!D31</f>
        <v xml:space="preserve">URBANISMO E PAISAGISMO </v>
      </c>
      <c r="C10" s="615"/>
      <c r="D10" s="615"/>
      <c r="E10" s="615"/>
      <c r="F10" s="616"/>
      <c r="G10" s="438">
        <f>PLANILHA!H31</f>
        <v>507992.83510114433</v>
      </c>
    </row>
    <row r="11" spans="1:7" x14ac:dyDescent="0.25">
      <c r="A11" s="437" t="str">
        <f>PLANILHA!A50</f>
        <v>3.0</v>
      </c>
      <c r="B11" s="614" t="str">
        <f>PLANILHA!D50</f>
        <v xml:space="preserve">PAVIMENTAÇÃO E DRENAGEM </v>
      </c>
      <c r="C11" s="615"/>
      <c r="D11" s="615"/>
      <c r="E11" s="615"/>
      <c r="F11" s="616"/>
      <c r="G11" s="438">
        <f>PLANILHA!H50</f>
        <v>37624.897164999995</v>
      </c>
    </row>
    <row r="12" spans="1:7" x14ac:dyDescent="0.25">
      <c r="A12" s="437" t="str">
        <f>PLANILHA!A56</f>
        <v>4.0</v>
      </c>
      <c r="B12" s="614" t="str">
        <f>PLANILHA!D56</f>
        <v xml:space="preserve">EMBUTIMENTO DE DRENAGEM </v>
      </c>
      <c r="C12" s="615"/>
      <c r="D12" s="615"/>
      <c r="E12" s="615"/>
      <c r="F12" s="616"/>
      <c r="G12" s="438">
        <f>PLANILHA!H56</f>
        <v>18006.554619000002</v>
      </c>
    </row>
    <row r="13" spans="1:7" x14ac:dyDescent="0.25">
      <c r="A13" s="439"/>
      <c r="B13" s="610"/>
      <c r="C13" s="611"/>
      <c r="D13" s="611"/>
      <c r="E13" s="611"/>
      <c r="F13" s="612"/>
      <c r="G13" s="440"/>
    </row>
    <row r="14" spans="1:7" ht="15.75" thickBot="1" x14ac:dyDescent="0.3">
      <c r="A14" s="441"/>
      <c r="B14" s="613" t="s">
        <v>50</v>
      </c>
      <c r="C14" s="613"/>
      <c r="D14" s="613"/>
      <c r="E14" s="613"/>
      <c r="F14" s="613"/>
      <c r="G14" s="442">
        <f>SUM(G9:G13)</f>
        <v>659762.65390514419</v>
      </c>
    </row>
  </sheetData>
  <mergeCells count="18">
    <mergeCell ref="B8:F8"/>
    <mergeCell ref="A1:F1"/>
    <mergeCell ref="A2:F2"/>
    <mergeCell ref="A3:B3"/>
    <mergeCell ref="C3:G3"/>
    <mergeCell ref="A4:B4"/>
    <mergeCell ref="C4:G4"/>
    <mergeCell ref="A5:B5"/>
    <mergeCell ref="C5:G5"/>
    <mergeCell ref="A6:B6"/>
    <mergeCell ref="C6:G6"/>
    <mergeCell ref="B7:F7"/>
    <mergeCell ref="B13:F13"/>
    <mergeCell ref="B14:F14"/>
    <mergeCell ref="B9:F9"/>
    <mergeCell ref="B10:F10"/>
    <mergeCell ref="B11:F11"/>
    <mergeCell ref="B12:F12"/>
  </mergeCells>
  <pageMargins left="0.51181102362204722" right="0.51181102362204722" top="0.78740157480314965" bottom="0.78740157480314965" header="0.31496062992125984" footer="0.31496062992125984"/>
  <pageSetup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topLeftCell="A6" zoomScale="91" zoomScaleNormal="100" zoomScaleSheetLayoutView="91" workbookViewId="0">
      <selection activeCell="K29" sqref="K29"/>
    </sheetView>
  </sheetViews>
  <sheetFormatPr defaultRowHeight="15" x14ac:dyDescent="0.25"/>
  <cols>
    <col min="1" max="1" width="9.5703125" customWidth="1"/>
    <col min="2" max="2" width="37.5703125" customWidth="1"/>
    <col min="3" max="3" width="16.5703125" customWidth="1"/>
    <col min="4" max="4" width="15.42578125" customWidth="1"/>
    <col min="5" max="5" width="15.7109375" customWidth="1"/>
    <col min="6" max="6" width="15.42578125" customWidth="1"/>
    <col min="7" max="7" width="17.7109375" customWidth="1"/>
  </cols>
  <sheetData>
    <row r="1" spans="1:7" ht="63.75" customHeight="1" x14ac:dyDescent="0.25">
      <c r="A1" s="649" t="s">
        <v>474</v>
      </c>
      <c r="B1" s="650"/>
      <c r="C1" s="650"/>
      <c r="D1" s="650"/>
      <c r="E1" s="650"/>
      <c r="F1" s="650"/>
      <c r="G1" s="651"/>
    </row>
    <row r="2" spans="1:7" ht="16.5" x14ac:dyDescent="0.25">
      <c r="A2" s="620" t="s">
        <v>0</v>
      </c>
      <c r="B2" s="621"/>
      <c r="C2" s="621"/>
      <c r="D2" s="621"/>
      <c r="E2" s="621"/>
      <c r="F2" s="621"/>
      <c r="G2" s="652"/>
    </row>
    <row r="3" spans="1:7" x14ac:dyDescent="0.25">
      <c r="A3" s="622" t="s">
        <v>1</v>
      </c>
      <c r="B3" s="623"/>
      <c r="C3" s="443" t="s">
        <v>475</v>
      </c>
      <c r="D3" s="444"/>
      <c r="E3" s="445"/>
      <c r="F3" s="445"/>
      <c r="G3" s="446"/>
    </row>
    <row r="4" spans="1:7" x14ac:dyDescent="0.25">
      <c r="A4" s="622" t="s">
        <v>2</v>
      </c>
      <c r="B4" s="623"/>
      <c r="C4" s="627" t="s">
        <v>3</v>
      </c>
      <c r="D4" s="627"/>
      <c r="E4" s="627"/>
      <c r="F4" s="627"/>
      <c r="G4" s="628"/>
    </row>
    <row r="5" spans="1:7" x14ac:dyDescent="0.25">
      <c r="A5" s="622" t="s">
        <v>4</v>
      </c>
      <c r="B5" s="623"/>
      <c r="C5" s="627" t="s">
        <v>460</v>
      </c>
      <c r="D5" s="627"/>
      <c r="E5" s="627"/>
      <c r="F5" s="627"/>
      <c r="G5" s="628"/>
    </row>
    <row r="6" spans="1:7" x14ac:dyDescent="0.25">
      <c r="A6" s="622" t="s">
        <v>5</v>
      </c>
      <c r="B6" s="623"/>
      <c r="C6" s="447" t="s">
        <v>476</v>
      </c>
      <c r="D6" s="444"/>
      <c r="E6" s="445"/>
      <c r="F6" s="445"/>
      <c r="G6" s="446"/>
    </row>
    <row r="7" spans="1:7" x14ac:dyDescent="0.25">
      <c r="A7" s="635" t="s">
        <v>478</v>
      </c>
      <c r="B7" s="636"/>
      <c r="C7" s="636"/>
      <c r="D7" s="636"/>
      <c r="E7" s="636"/>
      <c r="F7" s="636"/>
      <c r="G7" s="637"/>
    </row>
    <row r="8" spans="1:7" x14ac:dyDescent="0.25">
      <c r="A8" s="638"/>
      <c r="B8" s="639"/>
      <c r="C8" s="639"/>
      <c r="D8" s="639"/>
      <c r="E8" s="639"/>
      <c r="F8" s="639"/>
      <c r="G8" s="640"/>
    </row>
    <row r="9" spans="1:7" x14ac:dyDescent="0.25">
      <c r="A9" s="641" t="s">
        <v>479</v>
      </c>
      <c r="B9" s="642"/>
      <c r="C9" s="448">
        <f>G31</f>
        <v>659762.65390514431</v>
      </c>
      <c r="D9" s="449"/>
      <c r="E9" s="449"/>
      <c r="F9" s="449"/>
      <c r="G9" s="450"/>
    </row>
    <row r="10" spans="1:7" x14ac:dyDescent="0.25">
      <c r="A10" s="451"/>
      <c r="B10" s="452"/>
      <c r="C10" s="453"/>
      <c r="D10" s="453"/>
      <c r="E10" s="453"/>
      <c r="F10" s="453"/>
      <c r="G10" s="454"/>
    </row>
    <row r="11" spans="1:7" x14ac:dyDescent="0.25">
      <c r="A11" s="643" t="s">
        <v>6</v>
      </c>
      <c r="B11" s="644" t="s">
        <v>8</v>
      </c>
      <c r="C11" s="646" t="s">
        <v>480</v>
      </c>
      <c r="D11" s="647" t="s">
        <v>481</v>
      </c>
      <c r="E11" s="647"/>
      <c r="F11" s="647"/>
      <c r="G11" s="648"/>
    </row>
    <row r="12" spans="1:7" x14ac:dyDescent="0.25">
      <c r="A12" s="643"/>
      <c r="B12" s="645"/>
      <c r="C12" s="646"/>
      <c r="D12" s="455" t="s">
        <v>482</v>
      </c>
      <c r="E12" s="455" t="s">
        <v>483</v>
      </c>
      <c r="F12" s="455" t="s">
        <v>484</v>
      </c>
      <c r="G12" s="456" t="s">
        <v>485</v>
      </c>
    </row>
    <row r="13" spans="1:7" x14ac:dyDescent="0.25">
      <c r="A13" s="457"/>
      <c r="B13" s="458"/>
      <c r="C13" s="459"/>
      <c r="D13" s="460"/>
      <c r="E13" s="461"/>
      <c r="F13" s="461"/>
      <c r="G13" s="462"/>
    </row>
    <row r="14" spans="1:7" x14ac:dyDescent="0.25">
      <c r="A14" s="463"/>
      <c r="B14" s="464"/>
      <c r="C14" s="465"/>
      <c r="D14" s="466"/>
      <c r="E14" s="466"/>
      <c r="F14" s="466"/>
      <c r="G14" s="467"/>
    </row>
    <row r="15" spans="1:7" x14ac:dyDescent="0.25">
      <c r="A15" s="468"/>
      <c r="B15" s="469"/>
      <c r="C15" s="470"/>
      <c r="D15" s="471"/>
      <c r="E15" s="472"/>
      <c r="F15" s="472"/>
      <c r="G15" s="473"/>
    </row>
    <row r="16" spans="1:7" x14ac:dyDescent="0.25">
      <c r="A16" s="463" t="str">
        <f>RESUMO!A9</f>
        <v>1.0</v>
      </c>
      <c r="B16" s="474" t="str">
        <f>RESUMO!B9</f>
        <v>SERVIÇOS PRELIMINARES</v>
      </c>
      <c r="C16" s="475">
        <f>RESUMO!G9</f>
        <v>96138.367019999991</v>
      </c>
      <c r="D16" s="466">
        <f>D17*$C16</f>
        <v>96138.367019999991</v>
      </c>
      <c r="E16" s="466">
        <f>E17*$C16</f>
        <v>0</v>
      </c>
      <c r="F16" s="466"/>
      <c r="G16" s="467"/>
    </row>
    <row r="17" spans="1:7" x14ac:dyDescent="0.25">
      <c r="A17" s="468"/>
      <c r="B17" s="469"/>
      <c r="C17" s="470"/>
      <c r="D17" s="471">
        <v>1</v>
      </c>
      <c r="E17" s="471">
        <v>0</v>
      </c>
      <c r="F17" s="471">
        <v>0</v>
      </c>
      <c r="G17" s="476">
        <v>0</v>
      </c>
    </row>
    <row r="18" spans="1:7" x14ac:dyDescent="0.25">
      <c r="A18" s="468"/>
      <c r="B18" s="469"/>
      <c r="C18" s="470"/>
      <c r="D18" s="471"/>
      <c r="E18" s="472"/>
      <c r="F18" s="472"/>
      <c r="G18" s="473"/>
    </row>
    <row r="19" spans="1:7" x14ac:dyDescent="0.25">
      <c r="A19" s="463" t="str">
        <f>RESUMO!A10</f>
        <v>2.0</v>
      </c>
      <c r="B19" s="477" t="str">
        <f>RESUMO!B10</f>
        <v xml:space="preserve">URBANISMO E PAISAGISMO </v>
      </c>
      <c r="C19" s="475">
        <f>RESUMO!G10</f>
        <v>507992.83510114433</v>
      </c>
      <c r="D19" s="466">
        <f>D20*$C19</f>
        <v>101598.56702022887</v>
      </c>
      <c r="E19" s="466">
        <f>E20*$C19</f>
        <v>406394.2680809155</v>
      </c>
      <c r="F19" s="466">
        <f>F20*$C19</f>
        <v>0</v>
      </c>
      <c r="G19" s="467">
        <f>G20*$C19</f>
        <v>0</v>
      </c>
    </row>
    <row r="20" spans="1:7" x14ac:dyDescent="0.25">
      <c r="A20" s="468"/>
      <c r="B20" s="469"/>
      <c r="C20" s="470"/>
      <c r="D20" s="471">
        <v>0.2</v>
      </c>
      <c r="E20" s="471">
        <v>0.8</v>
      </c>
      <c r="F20" s="471">
        <v>0</v>
      </c>
      <c r="G20" s="476">
        <v>0</v>
      </c>
    </row>
    <row r="21" spans="1:7" x14ac:dyDescent="0.25">
      <c r="A21" s="468"/>
      <c r="B21" s="469"/>
      <c r="C21" s="470"/>
      <c r="D21" s="471"/>
      <c r="E21" s="472"/>
      <c r="F21" s="472"/>
      <c r="G21" s="473"/>
    </row>
    <row r="22" spans="1:7" x14ac:dyDescent="0.25">
      <c r="A22" s="478" t="str">
        <f>RESUMO!A11</f>
        <v>3.0</v>
      </c>
      <c r="B22" s="474" t="str">
        <f>RESUMO!B11</f>
        <v xml:space="preserve">PAVIMENTAÇÃO E DRENAGEM </v>
      </c>
      <c r="C22" s="475">
        <f>RESUMO!G11</f>
        <v>37624.897164999995</v>
      </c>
      <c r="D22" s="466">
        <f>D23*$C22</f>
        <v>3762.4897164999998</v>
      </c>
      <c r="E22" s="466">
        <f>E23*$C22</f>
        <v>18812.448582499997</v>
      </c>
      <c r="F22" s="466">
        <f>F23*$C22</f>
        <v>11287.469149499999</v>
      </c>
      <c r="G22" s="467">
        <f>G23*$C22</f>
        <v>3762.4897164999998</v>
      </c>
    </row>
    <row r="23" spans="1:7" x14ac:dyDescent="0.25">
      <c r="A23" s="468"/>
      <c r="B23" s="469"/>
      <c r="C23" s="470"/>
      <c r="D23" s="471">
        <v>0.1</v>
      </c>
      <c r="E23" s="471">
        <v>0.5</v>
      </c>
      <c r="F23" s="471">
        <v>0.3</v>
      </c>
      <c r="G23" s="476">
        <v>0.1</v>
      </c>
    </row>
    <row r="24" spans="1:7" x14ac:dyDescent="0.25">
      <c r="A24" s="468"/>
      <c r="B24" s="469"/>
      <c r="C24" s="470"/>
      <c r="D24" s="471"/>
      <c r="E24" s="471"/>
      <c r="F24" s="471"/>
      <c r="G24" s="479"/>
    </row>
    <row r="25" spans="1:7" x14ac:dyDescent="0.25">
      <c r="A25" s="478" t="str">
        <f>RESUMO!A12</f>
        <v>4.0</v>
      </c>
      <c r="B25" s="480" t="str">
        <f>RESUMO!B12</f>
        <v xml:space="preserve">EMBUTIMENTO DE DRENAGEM </v>
      </c>
      <c r="C25" s="470">
        <f>RESUMO!G12</f>
        <v>18006.554619000002</v>
      </c>
      <c r="D25" s="466">
        <f>D26*$C25</f>
        <v>0</v>
      </c>
      <c r="E25" s="466">
        <f>E26*$C25</f>
        <v>5401.9663857000005</v>
      </c>
      <c r="F25" s="466">
        <f>F26*$C25</f>
        <v>10803.932771400001</v>
      </c>
      <c r="G25" s="467">
        <f>G26*$C25</f>
        <v>1800.6554619000003</v>
      </c>
    </row>
    <row r="26" spans="1:7" x14ac:dyDescent="0.25">
      <c r="A26" s="468"/>
      <c r="B26" s="469"/>
      <c r="C26" s="470"/>
      <c r="D26" s="471">
        <v>0</v>
      </c>
      <c r="E26" s="471">
        <v>0.3</v>
      </c>
      <c r="F26" s="471">
        <v>0.6</v>
      </c>
      <c r="G26" s="476">
        <v>0.1</v>
      </c>
    </row>
    <row r="27" spans="1:7" x14ac:dyDescent="0.25">
      <c r="A27" s="468"/>
      <c r="B27" s="469"/>
      <c r="C27" s="470"/>
      <c r="D27" s="471"/>
      <c r="E27" s="471"/>
      <c r="F27" s="471"/>
      <c r="G27" s="476"/>
    </row>
    <row r="28" spans="1:7" x14ac:dyDescent="0.25">
      <c r="A28" s="468"/>
      <c r="B28" s="469"/>
      <c r="C28" s="470"/>
      <c r="D28" s="471"/>
      <c r="E28" s="471"/>
      <c r="F28" s="471"/>
      <c r="G28" s="476"/>
    </row>
    <row r="29" spans="1:7" x14ac:dyDescent="0.25">
      <c r="A29" s="468"/>
      <c r="B29" s="469"/>
      <c r="C29" s="470"/>
      <c r="D29" s="472"/>
      <c r="E29" s="472"/>
      <c r="F29" s="472"/>
      <c r="G29" s="473"/>
    </row>
    <row r="30" spans="1:7" x14ac:dyDescent="0.25">
      <c r="A30" s="481"/>
      <c r="B30" s="482" t="s">
        <v>486</v>
      </c>
      <c r="C30" s="483"/>
      <c r="D30" s="484">
        <f>D16+D19+D22+D25</f>
        <v>201499.42375672885</v>
      </c>
      <c r="E30" s="484">
        <f>E16+E19+E22+E25</f>
        <v>430608.68304911547</v>
      </c>
      <c r="F30" s="484">
        <f>F16+F19+F22+F25</f>
        <v>22091.4019209</v>
      </c>
      <c r="G30" s="485">
        <f>G16+G19+G22+G25</f>
        <v>5563.1451784000001</v>
      </c>
    </row>
    <row r="31" spans="1:7" x14ac:dyDescent="0.25">
      <c r="A31" s="481"/>
      <c r="B31" s="482" t="s">
        <v>487</v>
      </c>
      <c r="C31" s="483">
        <f>SUM(C15:C27)</f>
        <v>659762.65390514419</v>
      </c>
      <c r="D31" s="484">
        <f>D30</f>
        <v>201499.42375672885</v>
      </c>
      <c r="E31" s="484">
        <f>D31+E30</f>
        <v>632108.10680584435</v>
      </c>
      <c r="F31" s="484">
        <f>E31+F30</f>
        <v>654199.50872674433</v>
      </c>
      <c r="G31" s="485">
        <f>F31+G30</f>
        <v>659762.65390514431</v>
      </c>
    </row>
    <row r="32" spans="1:7" x14ac:dyDescent="0.25">
      <c r="A32" s="481"/>
      <c r="B32" s="482" t="s">
        <v>488</v>
      </c>
      <c r="C32" s="486"/>
      <c r="D32" s="487">
        <f>D30/$C$31</f>
        <v>0.30541198802940878</v>
      </c>
      <c r="E32" s="487">
        <f>E30/$C$31</f>
        <v>0.6526721094325918</v>
      </c>
      <c r="F32" s="487">
        <f>F30/$C$31</f>
        <v>3.3483862401335829E-2</v>
      </c>
      <c r="G32" s="488">
        <f>G30/$C$31</f>
        <v>8.4320401366637949E-3</v>
      </c>
    </row>
    <row r="33" spans="1:7" ht="15.75" thickBot="1" x14ac:dyDescent="0.3">
      <c r="A33" s="489"/>
      <c r="B33" s="490" t="s">
        <v>489</v>
      </c>
      <c r="C33" s="491">
        <v>1</v>
      </c>
      <c r="D33" s="492">
        <f>D32</f>
        <v>0.30541198802940878</v>
      </c>
      <c r="E33" s="492">
        <f>D33+E32</f>
        <v>0.95808409746200063</v>
      </c>
      <c r="F33" s="492">
        <f>E33+F32</f>
        <v>0.99156795986333646</v>
      </c>
      <c r="G33" s="493">
        <f>F33+G32</f>
        <v>1.0000000000000002</v>
      </c>
    </row>
  </sheetData>
  <mergeCells count="14">
    <mergeCell ref="A6:B6"/>
    <mergeCell ref="C4:G4"/>
    <mergeCell ref="C5:G5"/>
    <mergeCell ref="A1:G1"/>
    <mergeCell ref="A2:G2"/>
    <mergeCell ref="A3:B3"/>
    <mergeCell ref="A4:B4"/>
    <mergeCell ref="A5:B5"/>
    <mergeCell ref="A7:G8"/>
    <mergeCell ref="A9:B9"/>
    <mergeCell ref="A11:A12"/>
    <mergeCell ref="B11:B12"/>
    <mergeCell ref="C11:C12"/>
    <mergeCell ref="D11:G11"/>
  </mergeCells>
  <pageMargins left="0.51181102362204722" right="0.51181102362204722" top="0.78740157480314965" bottom="0.78740157480314965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PLANILHA</vt:lpstr>
      <vt:lpstr>MEMORIA DE CÁLCULO </vt:lpstr>
      <vt:lpstr>COMPOSIÇÕES</vt:lpstr>
      <vt:lpstr>RESUMO</vt:lpstr>
      <vt:lpstr>CRONOGRAMA</vt:lpstr>
      <vt:lpstr>'MEMORIA DE CÁLCULO '!Area_de_impressao</vt:lpstr>
      <vt:lpstr>PLANILHA!Area_de_impressao</vt:lpstr>
      <vt:lpstr>'MEMORIA DE CÁLCULO '!Titulos_de_impressao</vt:lpstr>
      <vt:lpstr>PLANILHA!Titulos_de_impressao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Anna Paula</cp:lastModifiedBy>
  <cp:lastPrinted>2013-11-19T12:43:37Z</cp:lastPrinted>
  <dcterms:created xsi:type="dcterms:W3CDTF">2013-01-15T14:25:59Z</dcterms:created>
  <dcterms:modified xsi:type="dcterms:W3CDTF">2014-01-23T20:21:50Z</dcterms:modified>
</cp:coreProperties>
</file>