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2" firstSheet="4" activeTab="4"/>
  </bookViews>
  <sheets>
    <sheet name=" ORÇAMENTO" sheetId="16" state="hidden" r:id="rId1"/>
    <sheet name="COMPOSIÇÃO" sheetId="19" state="hidden" r:id="rId2"/>
    <sheet name="MEMÓRIA E ORÇAMENTO" sheetId="1" state="hidden" r:id="rId3"/>
    <sheet name="CFF" sheetId="13" state="hidden" r:id="rId4"/>
    <sheet name="QCI  " sheetId="17" r:id="rId5"/>
    <sheet name="BDI SERVIÇO" sheetId="20" state="hidden" r:id="rId6"/>
  </sheets>
  <externalReferences>
    <externalReference r:id="rId7"/>
    <externalReference r:id="rId8"/>
  </externalReferences>
  <definedNames>
    <definedName name="A">#REF!</definedName>
    <definedName name="AREA">#REF!</definedName>
    <definedName name="_xlnm.Print_Area" localSheetId="0">' ORÇAMENTO'!$A$1:$I$46</definedName>
    <definedName name="_xlnm.Print_Area" localSheetId="5">'BDI SERVIÇO'!$A$1:$M$25</definedName>
    <definedName name="_xlnm.Print_Area" localSheetId="3">CFF!$A$1:$F$38</definedName>
    <definedName name="_xlnm.Print_Area" localSheetId="1">COMPOSIÇÃO!$A$1:$I$45</definedName>
    <definedName name="_xlnm.Print_Area" localSheetId="2">'MEMÓRIA E ORÇAMENTO'!$A$1:$M$124</definedName>
    <definedName name="_xlnm.Print_Area" localSheetId="4">'QCI  '!$A$1:$E$34</definedName>
    <definedName name="AreaTeste" localSheetId="0">#REF!</definedName>
    <definedName name="AreaTeste" localSheetId="3">#REF!</definedName>
    <definedName name="AreaTeste">#REF!</definedName>
    <definedName name="AreaTeste2" localSheetId="0">#REF!</definedName>
    <definedName name="AreaTeste2" localSheetId="3">#REF!</definedName>
    <definedName name="AreaTeste2">#REF!</definedName>
    <definedName name="B">#REF!</definedName>
    <definedName name="BDI">#REF!</definedName>
    <definedName name="BDIM">#REF!</definedName>
    <definedName name="BDIS">#REF!</definedName>
    <definedName name="BM">#REF!</definedName>
    <definedName name="Boleto">#REF!</definedName>
    <definedName name="CélulaInicioPlanilha" localSheetId="0">#REF!</definedName>
    <definedName name="CélulaInicioPlanilha" localSheetId="3">#REF!</definedName>
    <definedName name="CélulaInicioPlanilha">#REF!</definedName>
    <definedName name="CélulaResumo" localSheetId="0">#REF!</definedName>
    <definedName name="CélulaResumo" localSheetId="3">#REF!</definedName>
    <definedName name="CélulaResumo">#REF!</definedName>
    <definedName name="cimento">#REF!</definedName>
    <definedName name="COEF">#REF!</definedName>
    <definedName name="D">#REF!</definedName>
    <definedName name="dele">#REF!</definedName>
    <definedName name="e">#REF!</definedName>
    <definedName name="ebehyd">#REF!</definedName>
    <definedName name="EEEEEEEEEEEEEEEEEEEEEE">#REF!</definedName>
    <definedName name="ELE">#REF!</definedName>
    <definedName name="F">#REF!</definedName>
    <definedName name="gdada">#REF!</definedName>
    <definedName name="GGGS">#REF!</definedName>
    <definedName name="jj">#REF!</definedName>
    <definedName name="mme">#REF!</definedName>
    <definedName name="N0p">#REF!</definedName>
    <definedName name="NARCISO">#REF!</definedName>
    <definedName name="NOp">#REF!</definedName>
    <definedName name="ok" localSheetId="0">#REF!</definedName>
    <definedName name="ok">#REF!</definedName>
    <definedName name="P.1">#REF!</definedName>
    <definedName name="P.10">#REF!</definedName>
    <definedName name="P.11">#REF!</definedName>
    <definedName name="P.12">#REF!</definedName>
    <definedName name="P.13">#REF!</definedName>
    <definedName name="P.14">#REF!</definedName>
    <definedName name="P.15">#REF!</definedName>
    <definedName name="P.2">#REF!</definedName>
    <definedName name="P.3">#REF!</definedName>
    <definedName name="P.4">#REF!</definedName>
    <definedName name="P.5">#REF!</definedName>
    <definedName name="P.6">#REF!</definedName>
    <definedName name="P.7">#REF!</definedName>
    <definedName name="P.8">#REF!</definedName>
    <definedName name="P.9">#REF!</definedName>
    <definedName name="PP1.1">#REF!</definedName>
    <definedName name="PP1.10">#REF!</definedName>
    <definedName name="PP1.11">#REF!</definedName>
    <definedName name="PP1.12">#REF!</definedName>
    <definedName name="PP1.13">#REF!</definedName>
    <definedName name="PP1.14">#REF!</definedName>
    <definedName name="PP1.15">#REF!</definedName>
    <definedName name="PP1.2">#REF!</definedName>
    <definedName name="PP1.3">#REF!</definedName>
    <definedName name="PP1.4">#REF!</definedName>
    <definedName name="PP1.5">#REF!</definedName>
    <definedName name="PP1.6">#REF!</definedName>
    <definedName name="PP1.7">#REF!</definedName>
    <definedName name="PP1.8">#REF!</definedName>
    <definedName name="PP1.9">#REF!</definedName>
    <definedName name="PrzO">#REF!</definedName>
    <definedName name="SACO">[1]DI4!#REF!</definedName>
    <definedName name="SACO2">[1]DI4!#REF!</definedName>
    <definedName name="SACO3">[1]DI4!#REF!</definedName>
    <definedName name="T.1">#REF!</definedName>
    <definedName name="T.10">#REF!</definedName>
    <definedName name="T.11">#REF!</definedName>
    <definedName name="T.12">#REF!</definedName>
    <definedName name="T.13">#REF!</definedName>
    <definedName name="T.14">#REF!</definedName>
    <definedName name="T.15">#REF!</definedName>
    <definedName name="T.2">#REF!</definedName>
    <definedName name="T.3">#REF!</definedName>
    <definedName name="T.4">#REF!</definedName>
    <definedName name="T.5">#REF!</definedName>
    <definedName name="T.6">#REF!</definedName>
    <definedName name="T.7">#REF!</definedName>
    <definedName name="T.8">#REF!</definedName>
    <definedName name="T.9">#REF!</definedName>
    <definedName name="TABELA">'[2]PLANILHA FONTE'!$B$1:$G$290</definedName>
    <definedName name="_xlnm.Print_Titles" localSheetId="0">' ORÇAMENTO'!$16:$18</definedName>
    <definedName name="_xlnm.Print_Titles" localSheetId="3">CFF!$1:$16</definedName>
    <definedName name="_xlnm.Print_Titles" localSheetId="2">'MEMÓRIA E ORÇAMENTO'!$1:$18</definedName>
    <definedName name="_xlnm.Print_Titles" localSheetId="4">'QCI  '!$1:$16</definedName>
    <definedName name="TOT.P">#REF!</definedName>
    <definedName name="TOT1.P">#REF!</definedName>
    <definedName name="total1">#REF!</definedName>
    <definedName name="total2">#REF!</definedName>
    <definedName name="total3">#REF!</definedName>
    <definedName name="total4">#REF!</definedName>
    <definedName name="total5">#REF!</definedName>
    <definedName name="total6">#REF!</definedName>
    <definedName name="TT.1">#REF!</definedName>
    <definedName name="TT.10">#REF!</definedName>
    <definedName name="TT.11">#REF!</definedName>
    <definedName name="TT.12">#REF!</definedName>
    <definedName name="TT.13">#REF!</definedName>
    <definedName name="TT.14">#REF!</definedName>
    <definedName name="TT.15">#REF!</definedName>
    <definedName name="TT.2">#REF!</definedName>
    <definedName name="TT.3">#REF!</definedName>
    <definedName name="TT.4">#REF!</definedName>
    <definedName name="TT.5">#REF!</definedName>
    <definedName name="TT.6">#REF!</definedName>
    <definedName name="TT.7">#REF!</definedName>
    <definedName name="TT.8">#REF!</definedName>
    <definedName name="TT.9">#REF!</definedName>
    <definedName name="vendas_ano">#REF!</definedName>
    <definedName name="vendas_mes">#REF!</definedName>
  </definedNames>
  <calcPr calcId="152511"/>
</workbook>
</file>

<file path=xl/calcChain.xml><?xml version="1.0" encoding="utf-8"?>
<calcChain xmlns="http://schemas.openxmlformats.org/spreadsheetml/2006/main">
  <c r="J45" i="16" l="1"/>
  <c r="J43" i="16"/>
  <c r="J42" i="16"/>
  <c r="J39" i="16"/>
  <c r="J38" i="16"/>
  <c r="J37" i="16"/>
  <c r="J36" i="16"/>
  <c r="J35" i="16"/>
  <c r="J34" i="16"/>
  <c r="J31" i="16"/>
  <c r="J30" i="16"/>
  <c r="J29" i="16"/>
  <c r="J28" i="16"/>
  <c r="J27" i="16"/>
  <c r="J26" i="16"/>
  <c r="J22" i="16"/>
  <c r="J23" i="16"/>
  <c r="J21" i="16"/>
  <c r="F22" i="19" l="1"/>
  <c r="D112" i="1" l="1"/>
  <c r="J122" i="1"/>
  <c r="J121" i="1"/>
  <c r="J120" i="1"/>
  <c r="J119" i="1"/>
  <c r="J118" i="1"/>
  <c r="J117" i="1"/>
  <c r="J116" i="1"/>
  <c r="C46" i="1"/>
  <c r="B46" i="1"/>
  <c r="D46" i="1"/>
  <c r="D42" i="1"/>
  <c r="J47" i="1"/>
  <c r="J48" i="1" s="1"/>
  <c r="F30" i="16" s="1"/>
  <c r="G24" i="1" l="1"/>
  <c r="D23" i="1"/>
  <c r="H90" i="1" l="1"/>
  <c r="H89" i="1"/>
  <c r="C22" i="16" l="1"/>
  <c r="J39" i="1"/>
  <c r="J40" i="1" s="1"/>
  <c r="F28" i="16" s="1"/>
  <c r="J36" i="1"/>
  <c r="J37" i="1" s="1"/>
  <c r="F27" i="16" s="1"/>
  <c r="D38" i="1"/>
  <c r="D35" i="1"/>
  <c r="D26" i="16"/>
  <c r="G28" i="13" l="1"/>
  <c r="B27" i="13"/>
  <c r="A27" i="17"/>
  <c r="C81" i="1"/>
  <c r="D81" i="1"/>
  <c r="J114" i="1"/>
  <c r="J113" i="1"/>
  <c r="G111" i="1"/>
  <c r="J111" i="1" s="1"/>
  <c r="J110" i="1"/>
  <c r="J109" i="1"/>
  <c r="J108" i="1"/>
  <c r="J107" i="1"/>
  <c r="J105" i="1"/>
  <c r="J104" i="1"/>
  <c r="J103" i="1"/>
  <c r="J102" i="1"/>
  <c r="J101" i="1"/>
  <c r="G100" i="1"/>
  <c r="J100" i="1" s="1"/>
  <c r="L99" i="1"/>
  <c r="K99" i="1"/>
  <c r="B59" i="1"/>
  <c r="J32" i="1"/>
  <c r="J33" i="1" s="1"/>
  <c r="F26" i="16" s="1"/>
  <c r="J124" i="1" l="1"/>
  <c r="M99" i="1"/>
  <c r="F43" i="16"/>
  <c r="H71" i="1"/>
  <c r="G71" i="1"/>
  <c r="D71" i="1"/>
  <c r="J96" i="1" l="1"/>
  <c r="J95" i="1"/>
  <c r="G93" i="1"/>
  <c r="J93" i="1" s="1"/>
  <c r="J92" i="1"/>
  <c r="J91" i="1"/>
  <c r="J90" i="1"/>
  <c r="J89" i="1"/>
  <c r="J87" i="1"/>
  <c r="J86" i="1"/>
  <c r="J85" i="1"/>
  <c r="J84" i="1"/>
  <c r="J83" i="1"/>
  <c r="G82" i="1"/>
  <c r="J82" i="1" s="1"/>
  <c r="L81" i="1"/>
  <c r="K81" i="1"/>
  <c r="J98" i="1" l="1"/>
  <c r="F42" i="16" s="1"/>
  <c r="M81" i="1"/>
  <c r="M80" i="1" s="1"/>
  <c r="D26" i="1" l="1"/>
  <c r="C26" i="1"/>
  <c r="J27" i="1"/>
  <c r="J28" i="1" s="1"/>
  <c r="F23" i="16" s="1"/>
  <c r="G41" i="19" l="1"/>
  <c r="I41" i="19" s="1"/>
  <c r="G63" i="1" l="1"/>
  <c r="J63" i="1"/>
  <c r="J62" i="1"/>
  <c r="J61" i="1"/>
  <c r="O57" i="1"/>
  <c r="O56" i="1"/>
  <c r="C55" i="1"/>
  <c r="D55" i="1"/>
  <c r="J56" i="1"/>
  <c r="L55" i="1"/>
  <c r="K55" i="1"/>
  <c r="M55" i="1" l="1"/>
  <c r="J24" i="1"/>
  <c r="J25" i="1" s="1"/>
  <c r="F22" i="16" s="1"/>
  <c r="A12" i="19"/>
  <c r="A10" i="17"/>
  <c r="A10" i="13"/>
  <c r="H10" i="1"/>
  <c r="E10" i="1"/>
  <c r="A10" i="1"/>
  <c r="H10" i="19"/>
  <c r="E10" i="19"/>
  <c r="A10" i="19"/>
  <c r="J16" i="20"/>
  <c r="G16" i="20"/>
  <c r="D16" i="20"/>
  <c r="B8" i="20"/>
  <c r="G17" i="20" s="1"/>
  <c r="D20" i="20" s="1"/>
  <c r="D19" i="20" l="1"/>
  <c r="D22" i="20" s="1"/>
  <c r="D24" i="20" s="1"/>
  <c r="B12" i="20" l="1"/>
  <c r="D12" i="13"/>
  <c r="D12" i="17"/>
  <c r="E12" i="16"/>
  <c r="L14" i="16" s="1"/>
  <c r="H30" i="16" s="1"/>
  <c r="I30" i="16" s="1"/>
  <c r="J78" i="1"/>
  <c r="J79" i="1" s="1"/>
  <c r="F39" i="16" s="1"/>
  <c r="J75" i="1"/>
  <c r="D77" i="1"/>
  <c r="C77" i="1"/>
  <c r="B77" i="1"/>
  <c r="D73" i="1"/>
  <c r="B73" i="1"/>
  <c r="C70" i="1"/>
  <c r="D70" i="1"/>
  <c r="H68" i="1"/>
  <c r="G68" i="1"/>
  <c r="D68" i="1"/>
  <c r="H67" i="1"/>
  <c r="H74" i="1" s="1"/>
  <c r="G67" i="1"/>
  <c r="G74" i="1" s="1"/>
  <c r="D67" i="1"/>
  <c r="D74" i="1" s="1"/>
  <c r="D66" i="1"/>
  <c r="C66" i="1"/>
  <c r="D54" i="1"/>
  <c r="D59" i="1"/>
  <c r="D50" i="1"/>
  <c r="B50" i="1"/>
  <c r="J43" i="1"/>
  <c r="C42" i="1"/>
  <c r="D29" i="1"/>
  <c r="G31" i="19"/>
  <c r="I31" i="19" s="1"/>
  <c r="G30" i="19"/>
  <c r="I30" i="19" s="1"/>
  <c r="F23" i="19"/>
  <c r="I23" i="19" s="1"/>
  <c r="I22" i="19"/>
  <c r="F21" i="19"/>
  <c r="I21" i="19" s="1"/>
  <c r="G25" i="13"/>
  <c r="G19" i="13"/>
  <c r="G22" i="13"/>
  <c r="J64" i="1"/>
  <c r="I57" i="1" s="1"/>
  <c r="J60" i="1"/>
  <c r="H12" i="1"/>
  <c r="A12" i="1"/>
  <c r="A8" i="1"/>
  <c r="A6" i="1"/>
  <c r="A4" i="1"/>
  <c r="A14" i="1"/>
  <c r="A14" i="13"/>
  <c r="A14" i="17"/>
  <c r="A13" i="13"/>
  <c r="E12" i="13"/>
  <c r="A12" i="13"/>
  <c r="A11" i="13"/>
  <c r="A9" i="13"/>
  <c r="A8" i="13"/>
  <c r="A7" i="13"/>
  <c r="A6" i="13"/>
  <c r="A5" i="13"/>
  <c r="A4" i="13"/>
  <c r="A3" i="13"/>
  <c r="E12" i="17"/>
  <c r="A13" i="17"/>
  <c r="A12" i="17"/>
  <c r="A11" i="17"/>
  <c r="A9" i="17"/>
  <c r="A8" i="17"/>
  <c r="A7" i="17"/>
  <c r="A6" i="17"/>
  <c r="A5" i="17"/>
  <c r="A4" i="17"/>
  <c r="A3" i="17"/>
  <c r="I33" i="19" l="1"/>
  <c r="J65" i="1"/>
  <c r="F35" i="16" s="1"/>
  <c r="H27" i="16"/>
  <c r="I27" i="16" s="1"/>
  <c r="H28" i="16"/>
  <c r="I28" i="16" s="1"/>
  <c r="H43" i="16"/>
  <c r="I43" i="16" s="1"/>
  <c r="H26" i="16"/>
  <c r="I26" i="16" s="1"/>
  <c r="H42" i="16"/>
  <c r="I42" i="16" s="1"/>
  <c r="H34" i="16"/>
  <c r="H23" i="16"/>
  <c r="I23" i="16" s="1"/>
  <c r="J57" i="1"/>
  <c r="J58" i="1" s="1"/>
  <c r="F34" i="16" s="1"/>
  <c r="H39" i="16"/>
  <c r="H21" i="16"/>
  <c r="H37" i="16"/>
  <c r="H36" i="16"/>
  <c r="H29" i="16"/>
  <c r="H22" i="16"/>
  <c r="I22" i="16" s="1"/>
  <c r="E12" i="19"/>
  <c r="E12" i="1"/>
  <c r="J71" i="1"/>
  <c r="J72" i="1" s="1"/>
  <c r="F37" i="16" s="1"/>
  <c r="I26" i="19"/>
  <c r="J74" i="1"/>
  <c r="J76" i="1" s="1"/>
  <c r="F38" i="16" s="1"/>
  <c r="J68" i="1"/>
  <c r="I39" i="16"/>
  <c r="J44" i="1"/>
  <c r="F29" i="16" s="1"/>
  <c r="D20" i="1"/>
  <c r="C20" i="1"/>
  <c r="I43" i="19" l="1"/>
  <c r="I45" i="19" s="1"/>
  <c r="G35" i="16" s="1"/>
  <c r="H35" i="16" s="1"/>
  <c r="I35" i="16" s="1"/>
  <c r="I41" i="16"/>
  <c r="I34" i="16"/>
  <c r="I29" i="16"/>
  <c r="J67" i="1"/>
  <c r="J69" i="1" s="1"/>
  <c r="F36" i="16" s="1"/>
  <c r="F28" i="17" l="1"/>
  <c r="C27" i="13"/>
  <c r="F27" i="13" s="1"/>
  <c r="G27" i="13" s="1"/>
  <c r="A24" i="17"/>
  <c r="A21" i="17"/>
  <c r="A18" i="17"/>
  <c r="J51" i="1" l="1"/>
  <c r="I37" i="16" l="1"/>
  <c r="J21" i="1"/>
  <c r="J22" i="1" s="1"/>
  <c r="F21" i="16" l="1"/>
  <c r="J52" i="1"/>
  <c r="F31" i="16" l="1"/>
  <c r="O63" i="1"/>
  <c r="I21" i="16"/>
  <c r="I20" i="16" s="1"/>
  <c r="I36" i="16"/>
  <c r="M23" i="16" l="1"/>
  <c r="B21" i="13" l="1"/>
  <c r="B24" i="13"/>
  <c r="B18" i="13"/>
  <c r="L59" i="1" l="1"/>
  <c r="F19" i="17" l="1"/>
  <c r="C18" i="13"/>
  <c r="M29" i="1"/>
  <c r="D18" i="13" l="1"/>
  <c r="K59" i="1" l="1"/>
  <c r="M59" i="1" s="1"/>
  <c r="M19" i="1" l="1"/>
  <c r="M54" i="1" l="1"/>
  <c r="G18" i="13" l="1"/>
  <c r="I35" i="19"/>
  <c r="G31" i="16" s="1"/>
  <c r="H31" i="16" s="1"/>
  <c r="I31" i="16" s="1"/>
  <c r="I25" i="16" s="1"/>
  <c r="C21" i="13" l="1"/>
  <c r="F22" i="17"/>
  <c r="G38" i="16"/>
  <c r="H38" i="16" s="1"/>
  <c r="I38" i="16" s="1"/>
  <c r="I33" i="16" s="1"/>
  <c r="F25" i="17" l="1"/>
  <c r="C24" i="13"/>
  <c r="C30" i="13" s="1"/>
  <c r="D38" i="13" s="1"/>
  <c r="E21" i="13"/>
  <c r="F21" i="13"/>
  <c r="D21" i="13"/>
  <c r="I45" i="16"/>
  <c r="G11" i="17" l="1"/>
  <c r="G13" i="17" s="1"/>
  <c r="F15" i="17" s="1"/>
  <c r="E25" i="17" s="1"/>
  <c r="L20" i="16"/>
  <c r="M20" i="16"/>
  <c r="M21" i="16" s="1"/>
  <c r="G21" i="13"/>
  <c r="E24" i="13"/>
  <c r="E32" i="13" s="1"/>
  <c r="F24" i="13"/>
  <c r="F32" i="13" s="1"/>
  <c r="D24" i="13"/>
  <c r="G24" i="13" l="1"/>
  <c r="D32" i="13"/>
  <c r="F33" i="13"/>
  <c r="E33" i="13"/>
  <c r="E26" i="17"/>
  <c r="E28" i="17"/>
  <c r="E19" i="17"/>
  <c r="E22" i="17"/>
  <c r="E29" i="17" l="1"/>
  <c r="E23" i="17"/>
  <c r="D35" i="13"/>
  <c r="G32" i="13"/>
  <c r="D33" i="13"/>
  <c r="G33" i="13" s="1"/>
  <c r="E20" i="17"/>
  <c r="E31" i="17"/>
  <c r="E32" i="17" l="1"/>
  <c r="D36" i="13"/>
  <c r="E35" i="13"/>
  <c r="E36" i="13" l="1"/>
  <c r="F35" i="13"/>
  <c r="F36" i="13" s="1"/>
  <c r="E33" i="17"/>
  <c r="F32" i="17" s="1"/>
  <c r="D25" i="17" l="1"/>
  <c r="D26" i="17"/>
  <c r="D22" i="17"/>
  <c r="D28" i="17"/>
  <c r="D19" i="17"/>
  <c r="D20" i="17"/>
  <c r="D29" i="17"/>
  <c r="D23" i="17"/>
</calcChain>
</file>

<file path=xl/sharedStrings.xml><?xml version="1.0" encoding="utf-8"?>
<sst xmlns="http://schemas.openxmlformats.org/spreadsheetml/2006/main" count="498" uniqueCount="205">
  <si>
    <t>ITEM</t>
  </si>
  <si>
    <t>DESCRIÇÃO</t>
  </si>
  <si>
    <t>TAXA</t>
  </si>
  <si>
    <t>ALTURA</t>
  </si>
  <si>
    <t>TOTAL</t>
  </si>
  <si>
    <t>1.0</t>
  </si>
  <si>
    <t>SERVIÇOS PRELIMINARES</t>
  </si>
  <si>
    <t>1.1</t>
  </si>
  <si>
    <t>m²</t>
  </si>
  <si>
    <t>2.0</t>
  </si>
  <si>
    <t>2.1</t>
  </si>
  <si>
    <t>3.0</t>
  </si>
  <si>
    <t>3.1</t>
  </si>
  <si>
    <t>CÓDIGO</t>
  </si>
  <si>
    <t>PLANILHA ORÇAMENTÁRIA</t>
  </si>
  <si>
    <t>QUANTIDADE</t>
  </si>
  <si>
    <t>BDI</t>
  </si>
  <si>
    <t>CRONOGRAMA FÍSICO FINANCEIRO</t>
  </si>
  <si>
    <t>ETAPA</t>
  </si>
  <si>
    <t>SERVIÇO</t>
  </si>
  <si>
    <t>MÊS/ DESEMBOLSO</t>
  </si>
  <si>
    <t>TOTAL ETAPA (R$)</t>
  </si>
  <si>
    <t xml:space="preserve">TOTAIS PARCIAIS </t>
  </si>
  <si>
    <t xml:space="preserve">TOTAL GERAL </t>
  </si>
  <si>
    <t>SINAPI</t>
  </si>
  <si>
    <t>UNID.</t>
  </si>
  <si>
    <t>QUANTITATIVO</t>
  </si>
  <si>
    <t>FINANCEIRO</t>
  </si>
  <si>
    <t>COMPRIMENTO</t>
  </si>
  <si>
    <t>LARGURA</t>
  </si>
  <si>
    <t>UNITÁRIO</t>
  </si>
  <si>
    <t>TABELA</t>
  </si>
  <si>
    <t>TOTAIS ACUMULADOS</t>
  </si>
  <si>
    <t xml:space="preserve"> 74209/001</t>
  </si>
  <si>
    <t xml:space="preserve">PLACA DE OBRA EM CHAPA DE ACO GALVANIZADO </t>
  </si>
  <si>
    <t>TOTAL C/ B.D.I</t>
  </si>
  <si>
    <t>REGULARIZACAO E COMPACTACAO DE SUBLEITO ATE 20 CM DE ESPESSURA</t>
  </si>
  <si>
    <t>2.2</t>
  </si>
  <si>
    <t xml:space="preserve">1º MÊS </t>
  </si>
  <si>
    <t xml:space="preserve">2º MÊS </t>
  </si>
  <si>
    <t xml:space="preserve">3º MÊS </t>
  </si>
  <si>
    <t>UNID</t>
  </si>
  <si>
    <t>QUANT</t>
  </si>
  <si>
    <t>PERCENTUAL</t>
  </si>
  <si>
    <t>VALOR TOTAL</t>
  </si>
  <si>
    <t>CONCEDENTE</t>
  </si>
  <si>
    <t>UND.</t>
  </si>
  <si>
    <t>PROPONENTE</t>
  </si>
  <si>
    <t>TOTAL (1) CONCEDENTE</t>
  </si>
  <si>
    <t>TOTAL (2) PROPONENTE</t>
  </si>
  <si>
    <t>TOTAL GERAL (1+2)</t>
  </si>
  <si>
    <t>COFINS</t>
  </si>
  <si>
    <t>ISS</t>
  </si>
  <si>
    <t>PIS</t>
  </si>
  <si>
    <t>QUADRO DE COMPOSIÇÃO DE INVESTIMENTO (QCI)</t>
  </si>
  <si>
    <t>PROPRIETÁRIO:</t>
  </si>
  <si>
    <t>Departamento:</t>
  </si>
  <si>
    <t>OBRA:</t>
  </si>
  <si>
    <t>LOCALIZAÇÃO:</t>
  </si>
  <si>
    <t xml:space="preserve">CONCEDENTE: </t>
  </si>
  <si>
    <t>VALOR DE REPASSE:</t>
  </si>
  <si>
    <t>NUMERO CONVÊNIO:</t>
  </si>
  <si>
    <t>TABELA DE PREÇOS:</t>
  </si>
  <si>
    <t>BDI:</t>
  </si>
  <si>
    <t>DATA DE ELABORAÇÃO:</t>
  </si>
  <si>
    <t>RESPONSÁVEL TÉCNICO:</t>
  </si>
  <si>
    <t>REGISTRO CREA/CAU:</t>
  </si>
  <si>
    <t>ART/RRT Nº:</t>
  </si>
  <si>
    <t>MEMÓRIA DE CÁLCULO</t>
  </si>
  <si>
    <t>Leonardo Menezes de Sá</t>
  </si>
  <si>
    <t>29.936-D/PE</t>
  </si>
  <si>
    <t>CALÇADA</t>
  </si>
  <si>
    <t>3.2</t>
  </si>
  <si>
    <t>Taxa</t>
  </si>
  <si>
    <t>Área</t>
  </si>
  <si>
    <t>Comprimento</t>
  </si>
  <si>
    <t>Largura</t>
  </si>
  <si>
    <t>AV. SEVERIANO JOSÉ FREIRE, CARPINA - PE</t>
  </si>
  <si>
    <t>PISO DO PÁTIO DE EVENTOS</t>
  </si>
  <si>
    <t>COMPOSIÇÃO</t>
  </si>
  <si>
    <t>PISO TATIL DIRECIONAL E/OU ALERTA, DE CONCRETO, NA COR NATURAL, P/DEFICIENTES VISUAIS, DIMENSÕES 25X25CM, APLICADO COM ARGAMASSA INDUSTRIALIZADA AC-II, REJUNTADO, EXCLUSIVE REGULARIZAÇÃO DE BASE</t>
  </si>
  <si>
    <t>Descrição</t>
  </si>
  <si>
    <t>Quant.</t>
  </si>
  <si>
    <t>Unidade</t>
  </si>
  <si>
    <t>Preço Unit.</t>
  </si>
  <si>
    <t>Custo Mat.</t>
  </si>
  <si>
    <t>Custo MDO</t>
  </si>
  <si>
    <t>Custo Equip.</t>
  </si>
  <si>
    <t>Custo Total</t>
  </si>
  <si>
    <t>Material</t>
  </si>
  <si>
    <t>kg</t>
  </si>
  <si>
    <t>Sub-Total</t>
  </si>
  <si>
    <t>Mão de obra</t>
  </si>
  <si>
    <t>h</t>
  </si>
  <si>
    <t>REVITALIZAÇÃO DO PÁTIO J. CÂNDIDO EM CARPINA</t>
  </si>
  <si>
    <t xml:space="preserve">TOTAL GERAL R$/M²     </t>
  </si>
  <si>
    <t>3.3</t>
  </si>
  <si>
    <t>3.4</t>
  </si>
  <si>
    <t>3.5</t>
  </si>
  <si>
    <t>73932/001</t>
  </si>
  <si>
    <t>EXECUÇÃO DE PAVIMENTO EM PISO INTERTRAVADO, COM BLOCO SEXTAVADO DE 25 X 25 CM, ESPESSURA 8 CM. AF_12/2015</t>
  </si>
  <si>
    <t>COMPOSIÇÃO 01</t>
  </si>
  <si>
    <t>ÁREA DO PÁTIO</t>
  </si>
  <si>
    <t>ÁREA DO PISO TÁTIL DE ALERTA DO PÁTIO</t>
  </si>
  <si>
    <t>ÁREA DA CALÇADA E RAMPA FRONTAL</t>
  </si>
  <si>
    <t>ÁREA DO PISO TÁTIL DE ALERTA DA CALÇADA LATERAL</t>
  </si>
  <si>
    <t>ÁREA DA CANALETA DE ÁGUA PLUVIAL EXISTENTE</t>
  </si>
  <si>
    <t>ÁREA DO PISO TÁTIL DE ALERTA DA CALÇADA FRONTAL</t>
  </si>
  <si>
    <t>FÍSICO</t>
  </si>
  <si>
    <t>C/ BDI</t>
  </si>
  <si>
    <t>GRADE DE FERRO EM BARRA CHATA 3/16" (CANALETA)</t>
  </si>
  <si>
    <r>
      <t xml:space="preserve">PLANILHA DE COMPOSIÇÃO DO BDI                                                                       </t>
    </r>
    <r>
      <rPr>
        <b/>
        <sz val="12"/>
        <rFont val="Arial"/>
        <family val="2"/>
      </rPr>
      <t xml:space="preserve">                BENEFÍCIO ( LUCRO ) E DESPESAS INDIRETAS</t>
    </r>
  </si>
  <si>
    <t>CONSTRUÇÃO DE EDIFICAÇÕES</t>
  </si>
  <si>
    <t>COMPONENTES DO</t>
  </si>
  <si>
    <t>%</t>
  </si>
  <si>
    <t>INCIDÊNCIA</t>
  </si>
  <si>
    <t>IMPOSTOS</t>
  </si>
  <si>
    <t>ADM.  CENTRAL</t>
  </si>
  <si>
    <t>SOBRE O CUSTO DIRETO DO EMPREENDIMENTO</t>
  </si>
  <si>
    <t>LUCRO</t>
  </si>
  <si>
    <t>SOBRE O PREÇO DE VENDA DO EMP.</t>
  </si>
  <si>
    <t>RISCOS</t>
  </si>
  <si>
    <t>CPRB</t>
  </si>
  <si>
    <t>DESP.  FINANCEIRAS</t>
  </si>
  <si>
    <t>SEGURO + GARANTIA</t>
  </si>
  <si>
    <t>FÓRMULA</t>
  </si>
  <si>
    <t xml:space="preserve">BDI = </t>
  </si>
  <si>
    <t>((</t>
  </si>
  <si>
    <t>)</t>
  </si>
  <si>
    <t>(</t>
  </si>
  <si>
    <t>))</t>
  </si>
  <si>
    <t>( 1</t>
  </si>
  <si>
    <t>-</t>
  </si>
  <si>
    <t>=</t>
  </si>
  <si>
    <t>Variáveis constantes da fórmula:</t>
  </si>
  <si>
    <t>AC: taxa de administração central;</t>
  </si>
  <si>
    <t>SG: taxa de seguros e garantias;</t>
  </si>
  <si>
    <t>R: taxa de riscos;</t>
  </si>
  <si>
    <t>DF: taxa de despesas financeiras;</t>
  </si>
  <si>
    <t>TAXA DO BDI</t>
  </si>
  <si>
    <t>L: taxa de lucro/remuneração;</t>
  </si>
  <si>
    <t>I: taxa de incidência de impostos</t>
  </si>
  <si>
    <t xml:space="preserve">OBSERVAÇÕES: </t>
  </si>
  <si>
    <t>1 - QUANDO NÃO ORÇADOS E DISCRIMINADOS NA PLANILHA ORÇAMENTÁRIA.</t>
  </si>
  <si>
    <t>2 - OPERAÇÃO E MANUTENÇÃO DE EQUIPAMENTOS, MÓVEIS E UTENSÍLIOS, FERRAMENTAS, SEGURANÇA E MEDICINA DO TRABALHO, CONTROLES TÉCNICOS E CONSULTORIAS E OUTROS.</t>
  </si>
  <si>
    <t>3 – ISS é um imposto que incide sobre o preço de serviço, no Distrito Federal o valor é de 5%. O custo previsto com mão-de-obra é de 40% do custo da obra, para o computo do ISS o valor será de 2%</t>
  </si>
  <si>
    <t>1.028.518-74</t>
  </si>
  <si>
    <t>MINISTÉRIO DO TURISMO</t>
  </si>
  <si>
    <t>X</t>
  </si>
  <si>
    <t>34357 - SINAPI</t>
  </si>
  <si>
    <t>REJUNTE COLORIDO, CIMENTICIO</t>
  </si>
  <si>
    <t>37595 - SINAPI</t>
  </si>
  <si>
    <t>ARGAMASSA COLANTE TIPO ACIII</t>
  </si>
  <si>
    <t>SINAPI DESONERADA (FEV/17) E ORSE (JAN/17)</t>
  </si>
  <si>
    <t>Prefeitura Municipal do Carpina</t>
  </si>
  <si>
    <t>1.2</t>
  </si>
  <si>
    <t>PERÍMETRO DO TERRENO</t>
  </si>
  <si>
    <t>DEMOLICAO MANUAL DE PAVIMENTACAO EM CONCRETO ASFALTICO, ESPESSURA 5CM</t>
  </si>
  <si>
    <t>ÁREA DE LAJOTA DA CALÇADA E RAMPA FRONTAL</t>
  </si>
  <si>
    <t>3.6</t>
  </si>
  <si>
    <t>COMPOSIÇÃO 02</t>
  </si>
  <si>
    <t>DEMOLIÇÃO DE PISO EM LAJOTA</t>
  </si>
  <si>
    <t xml:space="preserve"> DEMOLICAO DE PISO EM LAJOTA</t>
  </si>
  <si>
    <t>1.3</t>
  </si>
  <si>
    <t>EXECUÇÃO DE DEPÓSITO EM CANTEIRO DE OBRA EM CHAPA DE MADEIRA COMPENSADA, NÃO INCLUSO MOBILIÁRIO.</t>
  </si>
  <si>
    <t>BARRACÃO</t>
  </si>
  <si>
    <t>4.0</t>
  </si>
  <si>
    <t>PINTURA</t>
  </si>
  <si>
    <t>4.1</t>
  </si>
  <si>
    <t>APLICAÇÃO MANUAL DE PINTURA COM TINTA LÁTEX PVA EM PAREDES, DUAS DEMÃOS AF_06/2014</t>
  </si>
  <si>
    <t>Altura</t>
  </si>
  <si>
    <t>Repetição</t>
  </si>
  <si>
    <t>PILARES</t>
  </si>
  <si>
    <t>PALCO</t>
  </si>
  <si>
    <t>CORREDOR DE ACESSO AO PALCO</t>
  </si>
  <si>
    <t>PAREDES EXTERNAS</t>
  </si>
  <si>
    <t>RAMPA DE ACESSO</t>
  </si>
  <si>
    <t>ESPELHO</t>
  </si>
  <si>
    <t>PISO</t>
  </si>
  <si>
    <t>APLICAÇÃO DE FUNDO SELADOR LÁTEX PVA EM PAREDES, UMA DEMÃO. AF_06/2014</t>
  </si>
  <si>
    <t>10% DA ÁREA TOTAL DO PÁTIO</t>
  </si>
  <si>
    <t>2.3</t>
  </si>
  <si>
    <t>4.2</t>
  </si>
  <si>
    <t>DEMOLIÇÃO DE PAVIMENTAÇÃO ASFÁLTICA COM UTILIZAÇÃO DE MARTELO PERFURADOR, ESPESSURA ATÉ 15 CM, EXCLUSIVE CARGA E TRANSPORTE</t>
  </si>
  <si>
    <t>2.4</t>
  </si>
  <si>
    <t>2.5</t>
  </si>
  <si>
    <t>CARGA E DESCARGA MECANIZADAS DE ENTULHO EM CAMINHAO BASCULANTE 6 M3</t>
  </si>
  <si>
    <t>TRANSPORTE DE ENTULHO COM CAMINHAO BASCULANTE 6 M3, RODOVIA PAVIMENTADA, DMT 0,5 A 1,0 KM</t>
  </si>
  <si>
    <t>m³</t>
  </si>
  <si>
    <t>Camada</t>
  </si>
  <si>
    <t>2.6</t>
  </si>
  <si>
    <t>DEGRAUS INTERNO</t>
  </si>
  <si>
    <t>PISO EM CONCRETO 20 MPA PREPARO MECANICO, ESPESSURA 7CM, INCLUSO JUNTAS DE DILATACAO</t>
  </si>
  <si>
    <t>ISOLAMENTO DE OBRA COM TELA PLASTICA COM MALHA DE 5MM</t>
  </si>
  <si>
    <t>ORSE</t>
  </si>
  <si>
    <t>DEGRAUS LATERAIS</t>
  </si>
  <si>
    <t>ACABAMENTO DE SUPERFÍCIE DE PISO DE CONCRETO COM POLIMENTO MECÂNICO COM ACABADORA SIMPLES</t>
  </si>
  <si>
    <t>PEDREIRO COM ENCARGOS COMPLEMENTARES</t>
  </si>
  <si>
    <t>88309 - SINAPI</t>
  </si>
  <si>
    <t>SERVENTE COM ENCARGOS COMPLEMENTARES</t>
  </si>
  <si>
    <t>88316 - SINAPI</t>
  </si>
  <si>
    <t>38135 - SINAPI</t>
  </si>
  <si>
    <t>LADRILHO HIDRAULIC, *20*20* CM, E=2CM, TATIL ALERTA OU DIRECIONAL AMARELO</t>
  </si>
  <si>
    <t>m2</t>
  </si>
  <si>
    <t>ITEM DE RELEVÂNCIA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</si>
</sst>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  <numFmt numFmtId="167" formatCode="_-[$R$-416]\ * #,##0.00_-;\-[$R$-416]\ * #,##0.00_-;_-[$R$-416]\ * &quot;-&quot;??_-;_-@_-"/>
    <numFmt numFmtId="168" formatCode="0.000%"/>
    <numFmt numFmtId="169" formatCode="_(* #,##0.0000000_);_(* \(#,##0.0000000\);_(* &quot;-&quot;??_);_(@_)"/>
    <numFmt numFmtId="170" formatCode="_(&quot;R$&quot;* #,##0.00_);_(&quot;R$&quot;* \(#,##0.00\);_(&quot;R$&quot;* &quot;-&quot;??_);_(@_)"/>
    <numFmt numFmtId="171" formatCode="[$-416]mmmm\-yy;@"/>
    <numFmt numFmtId="172" formatCode="[$-416]mmm\-yy;@"/>
    <numFmt numFmtId="173" formatCode="0.0000"/>
    <numFmt numFmtId="174" formatCode="#,#00"/>
    <numFmt numFmtId="175" formatCode="%#,#00"/>
    <numFmt numFmtId="176" formatCode="#.##000"/>
    <numFmt numFmtId="177" formatCode="#,"/>
    <numFmt numFmtId="178" formatCode="#,##0.0000"/>
    <numFmt numFmtId="179" formatCode="#,##0.00000"/>
    <numFmt numFmtId="180" formatCode="_-* #,##0.0000_-;\-* #,##0.0000_-;_-* &quot;-&quot;??_-;_-@_-"/>
    <numFmt numFmtId="181" formatCode="_-* #,##0.0000000_-;\-* #,##0.0000000_-;_-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sz val="8"/>
      <name val="Century Gothic"/>
      <family val="2"/>
    </font>
    <font>
      <b/>
      <sz val="8"/>
      <color theme="1"/>
      <name val="Century Gothic"/>
      <family val="2"/>
    </font>
    <font>
      <sz val="8"/>
      <color rgb="FFFF0000"/>
      <name val="Century Gothic"/>
      <family val="2"/>
    </font>
    <font>
      <b/>
      <sz val="10"/>
      <color rgb="FFFF000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i/>
      <sz val="8"/>
      <name val="Century Gothic"/>
      <family val="2"/>
    </font>
    <font>
      <b/>
      <sz val="9"/>
      <name val="Century Gothic"/>
      <family val="2"/>
    </font>
    <font>
      <b/>
      <sz val="11"/>
      <color theme="1"/>
      <name val="Century Gothic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0" tint="-0.1499984740745262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8"/>
      <color rgb="FF00FF00"/>
      <name val="Arial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sz val="10"/>
      <name val="Calibri"/>
      <family val="2"/>
      <charset val="1"/>
    </font>
    <font>
      <b/>
      <sz val="15"/>
      <color indexed="62"/>
      <name val="Calibri"/>
      <family val="2"/>
    </font>
    <font>
      <b/>
      <sz val="1"/>
      <color indexed="8"/>
      <name val="Courier"/>
      <family val="3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color theme="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1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/>
      <right/>
      <top style="hair">
        <color indexed="8"/>
      </top>
      <bottom style="medium">
        <color indexed="64"/>
      </bottom>
      <diagonal/>
    </border>
  </borders>
  <cellStyleXfs count="24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165" fontId="36" fillId="0" borderId="0" applyFont="0" applyFill="0" applyBorder="0" applyAlignment="0" applyProtection="0"/>
    <xf numFmtId="0" fontId="2" fillId="0" borderId="0"/>
    <xf numFmtId="0" fontId="37" fillId="0" borderId="0">
      <protection locked="0"/>
    </xf>
    <xf numFmtId="174" fontId="37" fillId="0" borderId="0">
      <protection locked="0"/>
    </xf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1" fillId="0" borderId="0"/>
    <xf numFmtId="0" fontId="34" fillId="0" borderId="0"/>
    <xf numFmtId="175" fontId="37" fillId="0" borderId="0">
      <protection locked="0"/>
    </xf>
    <xf numFmtId="176" fontId="37" fillId="0" borderId="0">
      <protection locked="0"/>
    </xf>
    <xf numFmtId="9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7" fontId="2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8" fillId="0" borderId="0"/>
    <xf numFmtId="0" fontId="39" fillId="0" borderId="65" applyNumberFormat="0" applyFill="0" applyAlignment="0" applyProtection="0"/>
    <xf numFmtId="177" fontId="40" fillId="0" borderId="0">
      <protection locked="0"/>
    </xf>
    <xf numFmtId="177" fontId="40" fillId="0" borderId="0">
      <protection locked="0"/>
    </xf>
    <xf numFmtId="9" fontId="2" fillId="0" borderId="0" applyFill="0" applyBorder="0" applyAlignment="0" applyProtection="0"/>
    <xf numFmtId="0" fontId="36" fillId="0" borderId="0"/>
    <xf numFmtId="0" fontId="36" fillId="0" borderId="0"/>
    <xf numFmtId="43" fontId="1" fillId="0" borderId="0" applyFont="0" applyFill="0" applyBorder="0" applyAlignment="0" applyProtection="0"/>
  </cellStyleXfs>
  <cellXfs count="648">
    <xf numFmtId="0" fontId="0" fillId="0" borderId="0" xfId="0"/>
    <xf numFmtId="0" fontId="6" fillId="0" borderId="0" xfId="0" applyFont="1" applyFill="1" applyBorder="1"/>
    <xf numFmtId="0" fontId="7" fillId="0" borderId="1" xfId="2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center"/>
    </xf>
    <xf numFmtId="4" fontId="7" fillId="0" borderId="1" xfId="2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 vertical="justify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4" fontId="10" fillId="7" borderId="1" xfId="2" applyNumberFormat="1" applyFont="1" applyFill="1" applyBorder="1" applyAlignment="1">
      <alignment horizontal="center"/>
    </xf>
    <xf numFmtId="0" fontId="6" fillId="7" borderId="0" xfId="0" applyFont="1" applyFill="1" applyBorder="1"/>
    <xf numFmtId="9" fontId="15" fillId="2" borderId="0" xfId="0" applyNumberFormat="1" applyFont="1" applyFill="1" applyBorder="1"/>
    <xf numFmtId="0" fontId="15" fillId="2" borderId="0" xfId="0" applyFont="1" applyFill="1" applyBorder="1"/>
    <xf numFmtId="0" fontId="15" fillId="2" borderId="0" xfId="0" applyFont="1" applyFill="1"/>
    <xf numFmtId="0" fontId="10" fillId="0" borderId="1" xfId="0" applyFont="1" applyFill="1" applyBorder="1" applyAlignment="1">
      <alignment horizontal="center"/>
    </xf>
    <xf numFmtId="0" fontId="10" fillId="7" borderId="0" xfId="0" applyFont="1" applyFill="1" applyBorder="1"/>
    <xf numFmtId="0" fontId="6" fillId="0" borderId="0" xfId="12" applyFont="1" applyFill="1" applyBorder="1"/>
    <xf numFmtId="0" fontId="15" fillId="0" borderId="0" xfId="6" applyFont="1" applyFill="1" applyBorder="1"/>
    <xf numFmtId="0" fontId="9" fillId="0" borderId="0" xfId="12" applyFont="1" applyFill="1" applyBorder="1"/>
    <xf numFmtId="0" fontId="11" fillId="8" borderId="0" xfId="12" applyFont="1" applyFill="1" applyBorder="1" applyAlignment="1">
      <alignment horizontal="center"/>
    </xf>
    <xf numFmtId="4" fontId="10" fillId="0" borderId="0" xfId="12" applyNumberFormat="1" applyFont="1" applyFill="1" applyBorder="1"/>
    <xf numFmtId="0" fontId="10" fillId="0" borderId="0" xfId="12" applyFont="1" applyFill="1" applyBorder="1"/>
    <xf numFmtId="10" fontId="16" fillId="0" borderId="1" xfId="13" applyNumberFormat="1" applyFont="1" applyFill="1" applyBorder="1" applyAlignment="1">
      <alignment horizontal="center"/>
    </xf>
    <xf numFmtId="0" fontId="10" fillId="0" borderId="1" xfId="12" applyFont="1" applyFill="1" applyBorder="1" applyAlignment="1">
      <alignment horizontal="left" vertical="top" wrapText="1"/>
    </xf>
    <xf numFmtId="0" fontId="7" fillId="8" borderId="1" xfId="2" applyFont="1" applyFill="1" applyBorder="1" applyAlignment="1">
      <alignment horizontal="left" vertical="top"/>
    </xf>
    <xf numFmtId="4" fontId="7" fillId="8" borderId="1" xfId="2" applyNumberFormat="1" applyFont="1" applyFill="1" applyBorder="1" applyAlignment="1">
      <alignment horizontal="center" vertical="top"/>
    </xf>
    <xf numFmtId="4" fontId="7" fillId="8" borderId="1" xfId="2" applyNumberFormat="1" applyFont="1" applyFill="1" applyBorder="1" applyAlignment="1">
      <alignment horizontal="center"/>
    </xf>
    <xf numFmtId="10" fontId="16" fillId="8" borderId="1" xfId="13" applyNumberFormat="1" applyFont="1" applyFill="1" applyBorder="1" applyAlignment="1">
      <alignment horizontal="center"/>
    </xf>
    <xf numFmtId="0" fontId="10" fillId="3" borderId="0" xfId="12" applyFont="1" applyFill="1" applyBorder="1"/>
    <xf numFmtId="0" fontId="7" fillId="0" borderId="1" xfId="12" applyFont="1" applyFill="1" applyBorder="1"/>
    <xf numFmtId="0" fontId="10" fillId="0" borderId="1" xfId="12" applyFont="1" applyFill="1" applyBorder="1"/>
    <xf numFmtId="0" fontId="7" fillId="0" borderId="1" xfId="12" applyFont="1" applyFill="1" applyBorder="1" applyAlignment="1">
      <alignment horizontal="center"/>
    </xf>
    <xf numFmtId="4" fontId="7" fillId="4" borderId="1" xfId="2" applyNumberFormat="1" applyFont="1" applyFill="1" applyBorder="1" applyAlignment="1">
      <alignment horizontal="center"/>
    </xf>
    <xf numFmtId="0" fontId="7" fillId="4" borderId="0" xfId="12" applyFont="1" applyFill="1" applyBorder="1"/>
    <xf numFmtId="10" fontId="16" fillId="4" borderId="1" xfId="13" applyNumberFormat="1" applyFont="1" applyFill="1" applyBorder="1" applyAlignment="1">
      <alignment horizontal="center"/>
    </xf>
    <xf numFmtId="0" fontId="7" fillId="0" borderId="0" xfId="12" applyFont="1" applyFill="1" applyBorder="1"/>
    <xf numFmtId="0" fontId="7" fillId="0" borderId="9" xfId="2" applyFont="1" applyFill="1" applyBorder="1" applyAlignment="1">
      <alignment horizontal="center" vertical="top"/>
    </xf>
    <xf numFmtId="4" fontId="7" fillId="0" borderId="9" xfId="2" applyNumberFormat="1" applyFont="1" applyFill="1" applyBorder="1" applyAlignment="1">
      <alignment horizontal="center"/>
    </xf>
    <xf numFmtId="0" fontId="17" fillId="2" borderId="0" xfId="12" applyFont="1" applyFill="1" applyBorder="1"/>
    <xf numFmtId="0" fontId="6" fillId="0" borderId="0" xfId="0" applyFont="1" applyFill="1" applyBorder="1" applyAlignment="1"/>
    <xf numFmtId="0" fontId="15" fillId="0" borderId="0" xfId="0" applyFont="1" applyFill="1" applyAlignment="1"/>
    <xf numFmtId="0" fontId="10" fillId="0" borderId="0" xfId="0" applyFont="1" applyFill="1" applyBorder="1" applyAlignment="1"/>
    <xf numFmtId="0" fontId="6" fillId="6" borderId="0" xfId="0" applyFont="1" applyFill="1" applyBorder="1" applyAlignment="1"/>
    <xf numFmtId="0" fontId="10" fillId="6" borderId="0" xfId="0" applyFont="1" applyFill="1" applyBorder="1" applyAlignment="1"/>
    <xf numFmtId="49" fontId="7" fillId="8" borderId="15" xfId="2" applyNumberFormat="1" applyFont="1" applyFill="1" applyBorder="1" applyAlignment="1">
      <alignment horizontal="center" vertical="top"/>
    </xf>
    <xf numFmtId="4" fontId="7" fillId="0" borderId="13" xfId="2" applyNumberFormat="1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 vertical="top"/>
    </xf>
    <xf numFmtId="10" fontId="16" fillId="0" borderId="13" xfId="13" applyNumberFormat="1" applyFont="1" applyFill="1" applyBorder="1" applyAlignment="1">
      <alignment horizontal="center"/>
    </xf>
    <xf numFmtId="0" fontId="7" fillId="8" borderId="15" xfId="2" applyNumberFormat="1" applyFont="1" applyFill="1" applyBorder="1" applyAlignment="1">
      <alignment horizontal="center" vertical="top"/>
    </xf>
    <xf numFmtId="0" fontId="10" fillId="0" borderId="12" xfId="12" applyFont="1" applyFill="1" applyBorder="1"/>
    <xf numFmtId="0" fontId="7" fillId="0" borderId="13" xfId="12" applyFont="1" applyFill="1" applyBorder="1"/>
    <xf numFmtId="0" fontId="7" fillId="0" borderId="16" xfId="2" applyFont="1" applyFill="1" applyBorder="1" applyAlignment="1">
      <alignment horizontal="center" vertical="top"/>
    </xf>
    <xf numFmtId="4" fontId="7" fillId="0" borderId="17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167" fontId="6" fillId="0" borderId="0" xfId="12" applyNumberFormat="1" applyFont="1" applyFill="1" applyBorder="1"/>
    <xf numFmtId="4" fontId="6" fillId="0" borderId="0" xfId="12" applyNumberFormat="1" applyFont="1" applyFill="1" applyBorder="1"/>
    <xf numFmtId="0" fontId="0" fillId="0" borderId="0" xfId="0" applyFill="1"/>
    <xf numFmtId="0" fontId="7" fillId="8" borderId="1" xfId="12" applyFont="1" applyFill="1" applyBorder="1" applyAlignment="1">
      <alignment horizontal="center" vertical="top" wrapText="1"/>
    </xf>
    <xf numFmtId="4" fontId="0" fillId="0" borderId="0" xfId="0" applyNumberFormat="1"/>
    <xf numFmtId="0" fontId="7" fillId="7" borderId="12" xfId="2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center" vertical="center" wrapText="1"/>
    </xf>
    <xf numFmtId="4" fontId="7" fillId="7" borderId="1" xfId="2" applyNumberFormat="1" applyFont="1" applyFill="1" applyBorder="1" applyAlignment="1">
      <alignment horizontal="center" vertical="center"/>
    </xf>
    <xf numFmtId="4" fontId="7" fillId="7" borderId="13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4" fontId="10" fillId="0" borderId="1" xfId="2" applyNumberFormat="1" applyFont="1" applyFill="1" applyBorder="1" applyAlignment="1">
      <alignment horizontal="center" vertical="center"/>
    </xf>
    <xf numFmtId="4" fontId="10" fillId="0" borderId="13" xfId="2" applyNumberFormat="1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7" borderId="1" xfId="2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left" vertical="center"/>
    </xf>
    <xf numFmtId="4" fontId="10" fillId="7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9" fillId="0" borderId="0" xfId="42" applyFont="1" applyFill="1"/>
    <xf numFmtId="0" fontId="20" fillId="0" borderId="29" xfId="42" applyFont="1" applyFill="1" applyBorder="1" applyAlignment="1">
      <alignment horizontal="center" vertical="center"/>
    </xf>
    <xf numFmtId="168" fontId="20" fillId="0" borderId="29" xfId="42" applyNumberFormat="1" applyFont="1" applyFill="1" applyBorder="1" applyAlignment="1">
      <alignment horizontal="center" vertical="center"/>
    </xf>
    <xf numFmtId="0" fontId="21" fillId="0" borderId="31" xfId="42" applyFont="1" applyFill="1" applyBorder="1" applyAlignment="1">
      <alignment horizontal="center" vertical="center"/>
    </xf>
    <xf numFmtId="43" fontId="21" fillId="0" borderId="31" xfId="42" applyNumberFormat="1" applyFont="1" applyFill="1" applyBorder="1" applyAlignment="1">
      <alignment vertical="center"/>
    </xf>
    <xf numFmtId="168" fontId="21" fillId="0" borderId="31" xfId="42" applyNumberFormat="1" applyFont="1" applyFill="1" applyBorder="1" applyAlignment="1">
      <alignment vertical="center"/>
    </xf>
    <xf numFmtId="0" fontId="19" fillId="0" borderId="0" xfId="42" applyFont="1" applyFill="1" applyAlignment="1">
      <alignment wrapText="1"/>
    </xf>
    <xf numFmtId="0" fontId="21" fillId="0" borderId="32" xfId="42" applyFont="1" applyFill="1" applyBorder="1" applyAlignment="1">
      <alignment horizontal="center" vertical="center"/>
    </xf>
    <xf numFmtId="43" fontId="21" fillId="0" borderId="32" xfId="42" applyNumberFormat="1" applyFont="1" applyFill="1" applyBorder="1" applyAlignment="1">
      <alignment vertical="center"/>
    </xf>
    <xf numFmtId="168" fontId="21" fillId="0" borderId="32" xfId="42" applyNumberFormat="1" applyFont="1" applyFill="1" applyBorder="1" applyAlignment="1">
      <alignment vertical="center"/>
    </xf>
    <xf numFmtId="0" fontId="21" fillId="0" borderId="29" xfId="42" applyFont="1" applyFill="1" applyBorder="1" applyAlignment="1">
      <alignment vertical="center"/>
    </xf>
    <xf numFmtId="168" fontId="21" fillId="0" borderId="29" xfId="42" applyNumberFormat="1" applyFont="1" applyFill="1" applyBorder="1" applyAlignment="1">
      <alignment vertical="center"/>
    </xf>
    <xf numFmtId="165" fontId="19" fillId="0" borderId="0" xfId="39" applyFont="1" applyFill="1" applyAlignment="1">
      <alignment horizontal="right"/>
    </xf>
    <xf numFmtId="168" fontId="19" fillId="0" borderId="0" xfId="42" applyNumberFormat="1" applyFont="1" applyFill="1"/>
    <xf numFmtId="2" fontId="7" fillId="7" borderId="1" xfId="2" applyNumberFormat="1" applyFont="1" applyFill="1" applyBorder="1" applyAlignment="1">
      <alignment horizontal="center" vertical="center"/>
    </xf>
    <xf numFmtId="2" fontId="10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justify" vertical="center" wrapText="1"/>
    </xf>
    <xf numFmtId="0" fontId="10" fillId="0" borderId="1" xfId="2" applyFont="1" applyFill="1" applyBorder="1" applyAlignment="1">
      <alignment horizontal="right" vertical="center"/>
    </xf>
    <xf numFmtId="2" fontId="10" fillId="7" borderId="1" xfId="2" applyNumberFormat="1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left" vertical="center" wrapText="1"/>
    </xf>
    <xf numFmtId="2" fontId="10" fillId="0" borderId="1" xfId="2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8" fillId="10" borderId="0" xfId="0" applyFont="1" applyFill="1" applyBorder="1" applyAlignment="1"/>
    <xf numFmtId="165" fontId="19" fillId="0" borderId="0" xfId="39" applyFont="1" applyFill="1" applyBorder="1" applyAlignment="1">
      <alignment horizontal="right" vertical="center"/>
    </xf>
    <xf numFmtId="4" fontId="7" fillId="8" borderId="2" xfId="2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/>
    </xf>
    <xf numFmtId="4" fontId="7" fillId="12" borderId="1" xfId="0" applyNumberFormat="1" applyFont="1" applyFill="1" applyBorder="1" applyAlignment="1">
      <alignment horizontal="center"/>
    </xf>
    <xf numFmtId="0" fontId="24" fillId="0" borderId="0" xfId="0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70" fontId="25" fillId="0" borderId="0" xfId="41" applyNumberFormat="1" applyFont="1" applyBorder="1" applyAlignment="1">
      <alignment vertical="center"/>
    </xf>
    <xf numFmtId="10" fontId="25" fillId="0" borderId="0" xfId="0" applyNumberFormat="1" applyFont="1" applyBorder="1" applyAlignment="1">
      <alignment vertical="center"/>
    </xf>
    <xf numFmtId="171" fontId="25" fillId="0" borderId="0" xfId="0" applyNumberFormat="1" applyFont="1" applyBorder="1" applyAlignment="1">
      <alignment vertical="center"/>
    </xf>
    <xf numFmtId="0" fontId="19" fillId="0" borderId="0" xfId="42" applyFont="1" applyFill="1" applyBorder="1" applyAlignment="1">
      <alignment wrapText="1"/>
    </xf>
    <xf numFmtId="0" fontId="19" fillId="0" borderId="0" xfId="42" applyFont="1" applyFill="1" applyBorder="1"/>
    <xf numFmtId="165" fontId="22" fillId="0" borderId="0" xfId="39" applyFont="1" applyFill="1" applyBorder="1" applyAlignment="1">
      <alignment horizontal="right" vertical="center"/>
    </xf>
    <xf numFmtId="165" fontId="22" fillId="0" borderId="0" xfId="39" applyFont="1" applyFill="1" applyBorder="1" applyAlignment="1">
      <alignment horizontal="right"/>
    </xf>
    <xf numFmtId="165" fontId="19" fillId="0" borderId="0" xfId="39" applyFont="1" applyFill="1" applyBorder="1" applyAlignment="1">
      <alignment horizontal="right"/>
    </xf>
    <xf numFmtId="43" fontId="19" fillId="0" borderId="0" xfId="42" applyNumberFormat="1" applyFont="1" applyFill="1" applyBorder="1"/>
    <xf numFmtId="0" fontId="24" fillId="0" borderId="35" xfId="0" applyFont="1" applyBorder="1" applyAlignment="1">
      <alignment vertical="center"/>
    </xf>
    <xf numFmtId="172" fontId="24" fillId="0" borderId="26" xfId="0" applyNumberFormat="1" applyFont="1" applyBorder="1" applyAlignment="1">
      <alignment vertical="center"/>
    </xf>
    <xf numFmtId="0" fontId="14" fillId="0" borderId="3" xfId="2" applyFont="1" applyFill="1" applyBorder="1" applyAlignment="1"/>
    <xf numFmtId="0" fontId="14" fillId="0" borderId="4" xfId="2" applyFont="1" applyFill="1" applyBorder="1" applyAlignment="1"/>
    <xf numFmtId="0" fontId="7" fillId="10" borderId="0" xfId="2" applyFont="1" applyFill="1" applyBorder="1" applyAlignment="1"/>
    <xf numFmtId="0" fontId="28" fillId="0" borderId="0" xfId="42" applyFont="1" applyFill="1" applyBorder="1" applyAlignment="1">
      <alignment wrapText="1"/>
    </xf>
    <xf numFmtId="0" fontId="28" fillId="0" borderId="0" xfId="42" applyFont="1" applyFill="1" applyAlignment="1">
      <alignment wrapText="1"/>
    </xf>
    <xf numFmtId="0" fontId="7" fillId="7" borderId="0" xfId="2" applyFont="1" applyFill="1" applyBorder="1" applyAlignment="1">
      <alignment vertical="center"/>
    </xf>
    <xf numFmtId="169" fontId="29" fillId="0" borderId="0" xfId="39" applyNumberFormat="1" applyFont="1" applyFill="1" applyBorder="1" applyAlignment="1">
      <alignment horizontal="right" vertical="center"/>
    </xf>
    <xf numFmtId="0" fontId="28" fillId="0" borderId="0" xfId="42" applyFont="1" applyFill="1" applyBorder="1"/>
    <xf numFmtId="0" fontId="10" fillId="0" borderId="0" xfId="6" applyFont="1" applyFill="1" applyBorder="1"/>
    <xf numFmtId="0" fontId="31" fillId="0" borderId="0" xfId="0" applyFont="1" applyFill="1" applyBorder="1"/>
    <xf numFmtId="0" fontId="30" fillId="0" borderId="0" xfId="2" applyFont="1" applyFill="1" applyBorder="1" applyAlignment="1">
      <alignment horizontal="center"/>
    </xf>
    <xf numFmtId="4" fontId="30" fillId="0" borderId="0" xfId="2" applyNumberFormat="1" applyFont="1" applyFill="1" applyBorder="1" applyAlignment="1">
      <alignment horizontal="center"/>
    </xf>
    <xf numFmtId="4" fontId="31" fillId="7" borderId="0" xfId="0" applyNumberFormat="1" applyFont="1" applyFill="1" applyBorder="1" applyAlignment="1">
      <alignment horizontal="center"/>
    </xf>
    <xf numFmtId="0" fontId="24" fillId="0" borderId="45" xfId="0" applyFont="1" applyBorder="1" applyAlignment="1">
      <alignment vertical="center"/>
    </xf>
    <xf numFmtId="0" fontId="25" fillId="0" borderId="46" xfId="0" applyFont="1" applyBorder="1" applyAlignment="1">
      <alignment vertical="center"/>
    </xf>
    <xf numFmtId="172" fontId="24" fillId="0" borderId="45" xfId="0" applyNumberFormat="1" applyFont="1" applyBorder="1" applyAlignment="1">
      <alignment vertical="center"/>
    </xf>
    <xf numFmtId="0" fontId="20" fillId="0" borderId="49" xfId="42" applyFont="1" applyFill="1" applyBorder="1" applyAlignment="1">
      <alignment horizontal="center" vertical="center"/>
    </xf>
    <xf numFmtId="43" fontId="20" fillId="0" borderId="50" xfId="42" applyNumberFormat="1" applyFont="1" applyFill="1" applyBorder="1" applyAlignment="1">
      <alignment horizontal="center" vertical="center"/>
    </xf>
    <xf numFmtId="43" fontId="20" fillId="0" borderId="51" xfId="42" applyNumberFormat="1" applyFont="1" applyFill="1" applyBorder="1" applyAlignment="1">
      <alignment horizontal="left" vertical="center"/>
    </xf>
    <xf numFmtId="43" fontId="21" fillId="0" borderId="52" xfId="42" applyNumberFormat="1" applyFont="1" applyFill="1" applyBorder="1" applyAlignment="1">
      <alignment vertical="center"/>
    </xf>
    <xf numFmtId="0" fontId="21" fillId="0" borderId="51" xfId="42" applyFont="1" applyFill="1" applyBorder="1" applyAlignment="1">
      <alignment horizontal="left" vertical="center"/>
    </xf>
    <xf numFmtId="0" fontId="21" fillId="0" borderId="53" xfId="42" applyFont="1" applyFill="1" applyBorder="1" applyAlignment="1">
      <alignment vertical="center"/>
    </xf>
    <xf numFmtId="43" fontId="21" fillId="0" borderId="54" xfId="42" applyNumberFormat="1" applyFont="1" applyFill="1" applyBorder="1" applyAlignment="1">
      <alignment vertical="center"/>
    </xf>
    <xf numFmtId="0" fontId="21" fillId="0" borderId="49" xfId="42" applyFont="1" applyFill="1" applyBorder="1" applyAlignment="1">
      <alignment vertical="center"/>
    </xf>
    <xf numFmtId="43" fontId="21" fillId="0" borderId="50" xfId="42" applyNumberFormat="1" applyFont="1" applyFill="1" applyBorder="1" applyAlignment="1">
      <alignment vertical="center"/>
    </xf>
    <xf numFmtId="0" fontId="20" fillId="0" borderId="49" xfId="42" applyFont="1" applyFill="1" applyBorder="1" applyAlignment="1">
      <alignment vertical="center"/>
    </xf>
    <xf numFmtId="43" fontId="20" fillId="0" borderId="50" xfId="42" applyNumberFormat="1" applyFont="1" applyFill="1" applyBorder="1" applyAlignment="1">
      <alignment vertical="center"/>
    </xf>
    <xf numFmtId="0" fontId="19" fillId="0" borderId="10" xfId="42" applyFont="1" applyFill="1" applyBorder="1"/>
    <xf numFmtId="168" fontId="19" fillId="0" borderId="0" xfId="42" applyNumberFormat="1" applyFont="1" applyFill="1" applyBorder="1"/>
    <xf numFmtId="0" fontId="19" fillId="0" borderId="11" xfId="42" applyFont="1" applyFill="1" applyBorder="1"/>
    <xf numFmtId="165" fontId="19" fillId="0" borderId="11" xfId="39" applyFont="1" applyFill="1" applyBorder="1"/>
    <xf numFmtId="0" fontId="19" fillId="0" borderId="55" xfId="42" applyFont="1" applyFill="1" applyBorder="1"/>
    <xf numFmtId="0" fontId="19" fillId="0" borderId="56" xfId="42" applyFont="1" applyFill="1" applyBorder="1"/>
    <xf numFmtId="168" fontId="19" fillId="0" borderId="56" xfId="42" applyNumberFormat="1" applyFont="1" applyFill="1" applyBorder="1"/>
    <xf numFmtId="43" fontId="19" fillId="0" borderId="57" xfId="42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44" xfId="2" applyFont="1" applyFill="1" applyBorder="1" applyAlignment="1">
      <alignment horizontal="left" vertical="top"/>
    </xf>
    <xf numFmtId="0" fontId="7" fillId="0" borderId="42" xfId="2" applyFont="1" applyFill="1" applyBorder="1" applyAlignment="1">
      <alignment horizontal="left" vertical="top"/>
    </xf>
    <xf numFmtId="0" fontId="7" fillId="0" borderId="42" xfId="6" applyFont="1" applyFill="1" applyBorder="1" applyAlignment="1">
      <alignment horizontal="left" vertical="top" wrapText="1"/>
    </xf>
    <xf numFmtId="0" fontId="7" fillId="0" borderId="44" xfId="6" applyFont="1" applyFill="1" applyBorder="1" applyAlignment="1">
      <alignment horizontal="left" vertical="top" wrapText="1"/>
    </xf>
    <xf numFmtId="0" fontId="7" fillId="0" borderId="48" xfId="2" applyFont="1" applyFill="1" applyBorder="1" applyAlignment="1">
      <alignment horizontal="center"/>
    </xf>
    <xf numFmtId="4" fontId="7" fillId="8" borderId="58" xfId="2" applyNumberFormat="1" applyFont="1" applyFill="1" applyBorder="1" applyAlignment="1">
      <alignment horizontal="center" vertical="center"/>
    </xf>
    <xf numFmtId="4" fontId="7" fillId="4" borderId="13" xfId="2" applyNumberFormat="1" applyFont="1" applyFill="1" applyBorder="1" applyAlignment="1">
      <alignment horizontal="center"/>
    </xf>
    <xf numFmtId="10" fontId="16" fillId="4" borderId="13" xfId="13" applyNumberFormat="1" applyFont="1" applyFill="1" applyBorder="1" applyAlignment="1">
      <alignment horizontal="center"/>
    </xf>
    <xf numFmtId="4" fontId="10" fillId="7" borderId="18" xfId="2" applyNumberFormat="1" applyFont="1" applyFill="1" applyBorder="1" applyAlignment="1">
      <alignment horizontal="center"/>
    </xf>
    <xf numFmtId="4" fontId="10" fillId="0" borderId="18" xfId="2" applyNumberFormat="1" applyFont="1" applyFill="1" applyBorder="1" applyAlignment="1">
      <alignment horizontal="center"/>
    </xf>
    <xf numFmtId="0" fontId="17" fillId="0" borderId="44" xfId="2" applyFont="1" applyFill="1" applyBorder="1" applyAlignment="1">
      <alignment horizontal="center"/>
    </xf>
    <xf numFmtId="0" fontId="17" fillId="0" borderId="11" xfId="2" applyFont="1" applyFill="1" applyBorder="1" applyAlignment="1">
      <alignment horizontal="center"/>
    </xf>
    <xf numFmtId="0" fontId="17" fillId="0" borderId="42" xfId="2" applyFont="1" applyFill="1" applyBorder="1" applyAlignment="1">
      <alignment horizontal="center"/>
    </xf>
    <xf numFmtId="4" fontId="17" fillId="0" borderId="48" xfId="2" applyNumberFormat="1" applyFont="1" applyFill="1" applyBorder="1" applyAlignment="1">
      <alignment horizontal="center"/>
    </xf>
    <xf numFmtId="0" fontId="7" fillId="12" borderId="12" xfId="0" applyFont="1" applyFill="1" applyBorder="1" applyAlignment="1">
      <alignment horizontal="center" vertical="center"/>
    </xf>
    <xf numFmtId="4" fontId="10" fillId="7" borderId="13" xfId="2" applyNumberFormat="1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right" vertical="center"/>
    </xf>
    <xf numFmtId="4" fontId="8" fillId="2" borderId="1" xfId="2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/>
    </xf>
    <xf numFmtId="4" fontId="8" fillId="2" borderId="13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34" fillId="0" borderId="0" xfId="47" applyFont="1"/>
    <xf numFmtId="0" fontId="34" fillId="0" borderId="29" xfId="47" applyFont="1" applyBorder="1"/>
    <xf numFmtId="2" fontId="34" fillId="0" borderId="29" xfId="47" applyNumberFormat="1" applyFont="1" applyBorder="1"/>
    <xf numFmtId="0" fontId="35" fillId="5" borderId="29" xfId="47" applyFont="1" applyFill="1" applyBorder="1" applyAlignment="1">
      <alignment horizontal="center" vertical="center" wrapText="1"/>
    </xf>
    <xf numFmtId="173" fontId="35" fillId="5" borderId="29" xfId="47" applyNumberFormat="1" applyFont="1" applyFill="1" applyBorder="1" applyAlignment="1">
      <alignment horizontal="center" vertical="center" wrapText="1"/>
    </xf>
    <xf numFmtId="0" fontId="35" fillId="0" borderId="29" xfId="47" applyFont="1" applyFill="1" applyBorder="1" applyAlignment="1">
      <alignment vertical="center" wrapText="1"/>
    </xf>
    <xf numFmtId="0" fontId="2" fillId="0" borderId="29" xfId="47" applyFont="1" applyFill="1" applyBorder="1" applyAlignment="1">
      <alignment horizontal="center" vertical="center" wrapText="1"/>
    </xf>
    <xf numFmtId="0" fontId="2" fillId="0" borderId="29" xfId="47" applyFont="1" applyFill="1" applyBorder="1" applyAlignment="1">
      <alignment horizontal="left" vertical="center" wrapText="1"/>
    </xf>
    <xf numFmtId="173" fontId="2" fillId="0" borderId="29" xfId="47" applyNumberFormat="1" applyFont="1" applyFill="1" applyBorder="1" applyAlignment="1">
      <alignment horizontal="center" vertical="center" wrapText="1"/>
    </xf>
    <xf numFmtId="2" fontId="34" fillId="0" borderId="29" xfId="47" applyNumberFormat="1" applyFont="1" applyFill="1" applyBorder="1" applyAlignment="1">
      <alignment horizontal="center" vertical="center" wrapText="1"/>
    </xf>
    <xf numFmtId="165" fontId="34" fillId="0" borderId="29" xfId="48" applyFont="1" applyFill="1" applyBorder="1" applyAlignment="1">
      <alignment horizontal="center" vertical="center" wrapText="1"/>
    </xf>
    <xf numFmtId="0" fontId="34" fillId="0" borderId="29" xfId="47" applyFont="1" applyFill="1" applyBorder="1" applyAlignment="1">
      <alignment horizontal="center" vertical="center" wrapText="1"/>
    </xf>
    <xf numFmtId="0" fontId="34" fillId="0" borderId="29" xfId="47" applyFont="1" applyFill="1" applyBorder="1" applyAlignment="1">
      <alignment horizontal="left" vertical="center" wrapText="1"/>
    </xf>
    <xf numFmtId="173" fontId="34" fillId="0" borderId="29" xfId="47" applyNumberFormat="1" applyFont="1" applyFill="1" applyBorder="1" applyAlignment="1">
      <alignment horizontal="center" vertical="center" wrapText="1"/>
    </xf>
    <xf numFmtId="165" fontId="35" fillId="0" borderId="29" xfId="48" applyFont="1" applyFill="1" applyBorder="1" applyAlignment="1">
      <alignment horizontal="center" vertical="center" wrapText="1"/>
    </xf>
    <xf numFmtId="0" fontId="34" fillId="0" borderId="29" xfId="47" applyFont="1" applyBorder="1" applyAlignment="1">
      <alignment horizontal="left" vertical="center" wrapText="1"/>
    </xf>
    <xf numFmtId="173" fontId="34" fillId="0" borderId="29" xfId="47" applyNumberFormat="1" applyFont="1" applyBorder="1" applyAlignment="1">
      <alignment horizontal="center" vertical="center" wrapText="1"/>
    </xf>
    <xf numFmtId="0" fontId="34" fillId="0" borderId="29" xfId="47" applyFont="1" applyBorder="1" applyAlignment="1">
      <alignment horizontal="center" vertical="center" wrapText="1"/>
    </xf>
    <xf numFmtId="2" fontId="34" fillId="13" borderId="29" xfId="47" applyNumberFormat="1" applyFont="1" applyFill="1" applyBorder="1" applyAlignment="1">
      <alignment horizontal="center" vertical="center" wrapText="1"/>
    </xf>
    <xf numFmtId="0" fontId="34" fillId="0" borderId="29" xfId="47" applyFont="1" applyFill="1" applyBorder="1"/>
    <xf numFmtId="10" fontId="34" fillId="0" borderId="29" xfId="47" applyNumberFormat="1" applyFont="1" applyFill="1" applyBorder="1" applyAlignment="1">
      <alignment horizontal="center" vertical="center" wrapText="1"/>
    </xf>
    <xf numFmtId="165" fontId="34" fillId="0" borderId="29" xfId="48" applyFont="1" applyFill="1" applyBorder="1"/>
    <xf numFmtId="0" fontId="35" fillId="0" borderId="29" xfId="47" applyFont="1" applyFill="1" applyBorder="1"/>
    <xf numFmtId="10" fontId="34" fillId="0" borderId="29" xfId="47" applyNumberFormat="1" applyFont="1" applyFill="1" applyBorder="1"/>
    <xf numFmtId="0" fontId="0" fillId="0" borderId="0" xfId="0" applyAlignment="1">
      <alignment horizontal="center" wrapText="1"/>
    </xf>
    <xf numFmtId="0" fontId="32" fillId="0" borderId="0" xfId="0" applyFont="1" applyBorder="1" applyAlignment="1">
      <alignment horizontal="center"/>
    </xf>
    <xf numFmtId="0" fontId="35" fillId="13" borderId="33" xfId="47" applyFont="1" applyFill="1" applyBorder="1" applyAlignment="1">
      <alignment horizontal="left" vertical="center" wrapText="1"/>
    </xf>
    <xf numFmtId="10" fontId="34" fillId="13" borderId="33" xfId="47" applyNumberFormat="1" applyFont="1" applyFill="1" applyBorder="1" applyAlignment="1">
      <alignment horizontal="center" vertical="center" wrapText="1"/>
    </xf>
    <xf numFmtId="0" fontId="34" fillId="13" borderId="33" xfId="47" applyFont="1" applyFill="1" applyBorder="1" applyAlignment="1">
      <alignment horizontal="center" vertical="center" wrapText="1"/>
    </xf>
    <xf numFmtId="165" fontId="34" fillId="13" borderId="33" xfId="48" applyFont="1" applyFill="1" applyBorder="1"/>
    <xf numFmtId="2" fontId="34" fillId="13" borderId="33" xfId="47" applyNumberFormat="1" applyFont="1" applyFill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4" fillId="0" borderId="49" xfId="47" applyFont="1" applyBorder="1" applyAlignment="1">
      <alignment horizontal="center" vertical="center"/>
    </xf>
    <xf numFmtId="0" fontId="34" fillId="0" borderId="50" xfId="47" applyFont="1" applyBorder="1"/>
    <xf numFmtId="0" fontId="35" fillId="5" borderId="49" xfId="47" applyFont="1" applyFill="1" applyBorder="1" applyAlignment="1">
      <alignment horizontal="center" vertical="center" wrapText="1"/>
    </xf>
    <xf numFmtId="0" fontId="35" fillId="5" borderId="50" xfId="47" applyFont="1" applyFill="1" applyBorder="1" applyAlignment="1">
      <alignment horizontal="center" vertical="center" wrapText="1"/>
    </xf>
    <xf numFmtId="0" fontId="35" fillId="0" borderId="49" xfId="47" applyFont="1" applyFill="1" applyBorder="1" applyAlignment="1">
      <alignment vertical="center" wrapText="1"/>
    </xf>
    <xf numFmtId="0" fontId="35" fillId="0" borderId="50" xfId="47" applyFont="1" applyFill="1" applyBorder="1" applyAlignment="1">
      <alignment vertical="center" wrapText="1"/>
    </xf>
    <xf numFmtId="0" fontId="2" fillId="0" borderId="49" xfId="47" applyFont="1" applyFill="1" applyBorder="1" applyAlignment="1">
      <alignment horizontal="center" vertical="center" wrapText="1"/>
    </xf>
    <xf numFmtId="165" fontId="34" fillId="0" borderId="50" xfId="48" applyFont="1" applyFill="1" applyBorder="1" applyAlignment="1">
      <alignment horizontal="center" vertical="center" wrapText="1"/>
    </xf>
    <xf numFmtId="0" fontId="34" fillId="0" borderId="49" xfId="47" applyFont="1" applyFill="1" applyBorder="1" applyAlignment="1">
      <alignment horizontal="center" vertical="center" wrapText="1"/>
    </xf>
    <xf numFmtId="165" fontId="35" fillId="0" borderId="50" xfId="48" applyFont="1" applyFill="1" applyBorder="1" applyAlignment="1">
      <alignment horizontal="center"/>
    </xf>
    <xf numFmtId="2" fontId="35" fillId="0" borderId="50" xfId="47" applyNumberFormat="1" applyFont="1" applyFill="1" applyBorder="1" applyAlignment="1">
      <alignment horizontal="center"/>
    </xf>
    <xf numFmtId="0" fontId="34" fillId="0" borderId="49" xfId="47" applyFont="1" applyFill="1" applyBorder="1" applyAlignment="1">
      <alignment horizontal="center" vertical="center"/>
    </xf>
    <xf numFmtId="165" fontId="35" fillId="0" borderId="50" xfId="48" applyFont="1" applyFill="1" applyBorder="1" applyAlignment="1">
      <alignment horizontal="center" vertical="center" wrapText="1"/>
    </xf>
    <xf numFmtId="0" fontId="34" fillId="13" borderId="66" xfId="47" applyFont="1" applyFill="1" applyBorder="1" applyAlignment="1">
      <alignment horizontal="center" vertical="center"/>
    </xf>
    <xf numFmtId="165" fontId="34" fillId="13" borderId="45" xfId="48" applyFont="1" applyFill="1" applyBorder="1"/>
    <xf numFmtId="0" fontId="3" fillId="2" borderId="67" xfId="47" applyFont="1" applyFill="1" applyBorder="1" applyAlignment="1">
      <alignment horizontal="center" vertical="center"/>
    </xf>
    <xf numFmtId="0" fontId="41" fillId="2" borderId="68" xfId="47" applyFont="1" applyFill="1" applyBorder="1" applyAlignment="1">
      <alignment horizontal="center" vertical="center" wrapText="1"/>
    </xf>
    <xf numFmtId="173" fontId="3" fillId="2" borderId="68" xfId="47" applyNumberFormat="1" applyFont="1" applyFill="1" applyBorder="1" applyAlignment="1">
      <alignment horizontal="center" vertical="center"/>
    </xf>
    <xf numFmtId="0" fontId="3" fillId="2" borderId="68" xfId="47" applyFont="1" applyFill="1" applyBorder="1" applyAlignment="1">
      <alignment horizontal="center" vertical="center"/>
    </xf>
    <xf numFmtId="165" fontId="41" fillId="2" borderId="69" xfId="48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4" fontId="10" fillId="0" borderId="0" xfId="2" applyNumberFormat="1" applyFont="1" applyFill="1" applyBorder="1" applyAlignment="1">
      <alignment horizontal="center" vertical="center"/>
    </xf>
    <xf numFmtId="4" fontId="10" fillId="0" borderId="70" xfId="2" applyNumberFormat="1" applyFont="1" applyFill="1" applyBorder="1" applyAlignment="1">
      <alignment horizontal="center" vertical="center"/>
    </xf>
    <xf numFmtId="0" fontId="10" fillId="0" borderId="70" xfId="2" applyFont="1" applyFill="1" applyBorder="1" applyAlignment="1">
      <alignment horizontal="left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vertical="center" wrapText="1"/>
    </xf>
    <xf numFmtId="0" fontId="10" fillId="0" borderId="70" xfId="2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justify" vertical="center"/>
    </xf>
    <xf numFmtId="0" fontId="7" fillId="7" borderId="71" xfId="2" applyFont="1" applyFill="1" applyBorder="1" applyAlignment="1">
      <alignment horizontal="center" vertical="center"/>
    </xf>
    <xf numFmtId="0" fontId="7" fillId="7" borderId="71" xfId="2" applyFont="1" applyFill="1" applyBorder="1" applyAlignment="1">
      <alignment horizontal="center" vertical="center" wrapText="1"/>
    </xf>
    <xf numFmtId="0" fontId="7" fillId="7" borderId="71" xfId="2" applyFont="1" applyFill="1" applyBorder="1" applyAlignment="1">
      <alignment horizontal="justify" vertical="center"/>
    </xf>
    <xf numFmtId="4" fontId="7" fillId="7" borderId="71" xfId="2" applyNumberFormat="1" applyFont="1" applyFill="1" applyBorder="1" applyAlignment="1">
      <alignment horizontal="center" vertical="center"/>
    </xf>
    <xf numFmtId="0" fontId="7" fillId="7" borderId="71" xfId="2" applyFont="1" applyFill="1" applyBorder="1" applyAlignment="1">
      <alignment horizontal="left" vertical="center"/>
    </xf>
    <xf numFmtId="0" fontId="11" fillId="0" borderId="75" xfId="0" applyFont="1" applyFill="1" applyBorder="1" applyAlignment="1"/>
    <xf numFmtId="0" fontId="11" fillId="0" borderId="73" xfId="0" applyFont="1" applyFill="1" applyBorder="1" applyAlignment="1"/>
    <xf numFmtId="0" fontId="11" fillId="0" borderId="76" xfId="0" applyFont="1" applyFill="1" applyBorder="1" applyAlignment="1"/>
    <xf numFmtId="0" fontId="13" fillId="9" borderId="77" xfId="2" applyFont="1" applyFill="1" applyBorder="1" applyAlignment="1">
      <alignment horizontal="center" vertical="center"/>
    </xf>
    <xf numFmtId="0" fontId="13" fillId="9" borderId="77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10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12" borderId="71" xfId="0" applyFont="1" applyFill="1" applyBorder="1" applyAlignment="1">
      <alignment horizontal="center"/>
    </xf>
    <xf numFmtId="0" fontId="7" fillId="12" borderId="71" xfId="0" applyFont="1" applyFill="1" applyBorder="1" applyAlignment="1">
      <alignment horizontal="center" vertical="center"/>
    </xf>
    <xf numFmtId="0" fontId="7" fillId="12" borderId="71" xfId="0" applyFont="1" applyFill="1" applyBorder="1" applyAlignment="1"/>
    <xf numFmtId="0" fontId="7" fillId="12" borderId="80" xfId="0" applyFont="1" applyFill="1" applyBorder="1" applyAlignment="1">
      <alignment horizontal="center"/>
    </xf>
    <xf numFmtId="0" fontId="7" fillId="12" borderId="8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7" borderId="80" xfId="2" applyFont="1" applyFill="1" applyBorder="1" applyAlignment="1">
      <alignment horizontal="center" vertical="center"/>
    </xf>
    <xf numFmtId="4" fontId="7" fillId="7" borderId="81" xfId="2" applyNumberFormat="1" applyFont="1" applyFill="1" applyBorder="1" applyAlignment="1">
      <alignment horizontal="center" vertical="center"/>
    </xf>
    <xf numFmtId="0" fontId="10" fillId="0" borderId="78" xfId="2" applyFont="1" applyFill="1" applyBorder="1" applyAlignment="1">
      <alignment horizontal="center" vertical="center"/>
    </xf>
    <xf numFmtId="4" fontId="10" fillId="0" borderId="79" xfId="2" applyNumberFormat="1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" fontId="10" fillId="0" borderId="11" xfId="2" applyNumberFormat="1" applyFont="1" applyFill="1" applyBorder="1" applyAlignment="1">
      <alignment horizontal="center" vertical="center"/>
    </xf>
    <xf numFmtId="0" fontId="13" fillId="9" borderId="82" xfId="2" applyFont="1" applyFill="1" applyBorder="1" applyAlignment="1">
      <alignment horizontal="center" vertical="center"/>
    </xf>
    <xf numFmtId="4" fontId="8" fillId="9" borderId="83" xfId="2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19" xfId="2" applyFont="1" applyFill="1" applyBorder="1" applyAlignment="1">
      <alignment vertical="center"/>
    </xf>
    <xf numFmtId="0" fontId="10" fillId="0" borderId="18" xfId="2" applyFont="1" applyFill="1" applyBorder="1" applyAlignment="1">
      <alignment vertical="center"/>
    </xf>
    <xf numFmtId="4" fontId="8" fillId="9" borderId="77" xfId="2" applyNumberFormat="1" applyFont="1" applyFill="1" applyBorder="1" applyAlignment="1">
      <alignment horizontal="center" vertical="center"/>
    </xf>
    <xf numFmtId="0" fontId="10" fillId="0" borderId="70" xfId="2" applyFont="1" applyFill="1" applyBorder="1" applyAlignment="1">
      <alignment horizontal="center" vertical="center"/>
    </xf>
    <xf numFmtId="0" fontId="35" fillId="0" borderId="29" xfId="47" applyFont="1" applyFill="1" applyBorder="1" applyAlignment="1">
      <alignment horizontal="left" vertical="center" wrapText="1"/>
    </xf>
    <xf numFmtId="10" fontId="2" fillId="0" borderId="0" xfId="15" applyNumberFormat="1" applyFont="1" applyFill="1"/>
    <xf numFmtId="10" fontId="2" fillId="0" borderId="0" xfId="241" applyNumberFormat="1" applyFont="1" applyFill="1" applyAlignment="1">
      <alignment horizontal="center"/>
    </xf>
    <xf numFmtId="0" fontId="2" fillId="0" borderId="0" xfId="15" applyFont="1" applyFill="1"/>
    <xf numFmtId="0" fontId="2" fillId="0" borderId="27" xfId="6" applyFont="1" applyFill="1" applyBorder="1"/>
    <xf numFmtId="0" fontId="43" fillId="0" borderId="27" xfId="6" applyFont="1" applyFill="1" applyBorder="1" applyAlignment="1">
      <alignment vertical="center"/>
    </xf>
    <xf numFmtId="0" fontId="44" fillId="0" borderId="27" xfId="6" applyFont="1" applyFill="1" applyBorder="1" applyAlignment="1"/>
    <xf numFmtId="178" fontId="25" fillId="0" borderId="96" xfId="6" applyNumberFormat="1" applyFont="1" applyFill="1" applyBorder="1" applyAlignment="1">
      <alignment horizontal="center" vertical="center"/>
    </xf>
    <xf numFmtId="0" fontId="24" fillId="0" borderId="97" xfId="6" applyFont="1" applyFill="1" applyBorder="1" applyAlignment="1">
      <alignment vertical="center"/>
    </xf>
    <xf numFmtId="0" fontId="2" fillId="0" borderId="97" xfId="6" applyFont="1" applyFill="1" applyBorder="1" applyAlignment="1">
      <alignment vertical="center"/>
    </xf>
    <xf numFmtId="0" fontId="2" fillId="0" borderId="98" xfId="6" applyFont="1" applyFill="1" applyBorder="1" applyAlignment="1">
      <alignment vertical="center"/>
    </xf>
    <xf numFmtId="4" fontId="25" fillId="0" borderId="96" xfId="6" applyNumberFormat="1" applyFont="1" applyFill="1" applyBorder="1" applyAlignment="1">
      <alignment horizontal="center" vertical="center"/>
    </xf>
    <xf numFmtId="10" fontId="2" fillId="0" borderId="0" xfId="15" applyNumberFormat="1" applyFont="1" applyFill="1" applyAlignment="1">
      <alignment vertical="center"/>
    </xf>
    <xf numFmtId="10" fontId="2" fillId="0" borderId="0" xfId="241" applyNumberFormat="1" applyFont="1" applyFill="1" applyAlignment="1">
      <alignment horizontal="center" vertical="center"/>
    </xf>
    <xf numFmtId="0" fontId="2" fillId="0" borderId="0" xfId="15" applyFont="1" applyFill="1" applyAlignment="1">
      <alignment vertical="center"/>
    </xf>
    <xf numFmtId="0" fontId="24" fillId="0" borderId="101" xfId="6" applyFont="1" applyFill="1" applyBorder="1" applyAlignment="1">
      <alignment vertical="center"/>
    </xf>
    <xf numFmtId="0" fontId="2" fillId="0" borderId="101" xfId="6" applyFont="1" applyFill="1" applyBorder="1" applyAlignment="1">
      <alignment vertical="center"/>
    </xf>
    <xf numFmtId="0" fontId="2" fillId="0" borderId="96" xfId="6" applyFont="1" applyFill="1" applyBorder="1" applyAlignment="1">
      <alignment vertical="center"/>
    </xf>
    <xf numFmtId="0" fontId="2" fillId="0" borderId="96" xfId="6" applyFont="1" applyFill="1" applyBorder="1" applyAlignment="1">
      <alignment horizontal="center" vertical="center"/>
    </xf>
    <xf numFmtId="4" fontId="45" fillId="6" borderId="103" xfId="6" applyNumberFormat="1" applyFont="1" applyFill="1" applyBorder="1" applyAlignment="1">
      <alignment horizontal="right" indent="3"/>
    </xf>
    <xf numFmtId="4" fontId="2" fillId="0" borderId="104" xfId="6" applyNumberFormat="1" applyFont="1" applyFill="1" applyBorder="1"/>
    <xf numFmtId="0" fontId="2" fillId="0" borderId="104" xfId="6" applyFont="1" applyFill="1" applyBorder="1"/>
    <xf numFmtId="0" fontId="2" fillId="0" borderId="103" xfId="6" applyFont="1" applyFill="1" applyBorder="1"/>
    <xf numFmtId="4" fontId="35" fillId="0" borderId="103" xfId="6" applyNumberFormat="1" applyFont="1" applyFill="1" applyBorder="1" applyAlignment="1">
      <alignment horizontal="right" indent="4"/>
    </xf>
    <xf numFmtId="0" fontId="41" fillId="0" borderId="105" xfId="6" applyFont="1" applyFill="1" applyBorder="1" applyAlignment="1">
      <alignment horizontal="right"/>
    </xf>
    <xf numFmtId="0" fontId="41" fillId="0" borderId="22" xfId="6" applyFont="1" applyFill="1" applyBorder="1" applyAlignment="1">
      <alignment horizontal="center"/>
    </xf>
    <xf numFmtId="0" fontId="41" fillId="0" borderId="22" xfId="6" applyFont="1" applyFill="1" applyBorder="1" applyAlignment="1">
      <alignment horizontal="center" vertical="center"/>
    </xf>
    <xf numFmtId="0" fontId="3" fillId="0" borderId="22" xfId="6" applyFont="1" applyFill="1" applyBorder="1" applyAlignment="1">
      <alignment horizontal="center" vertical="center"/>
    </xf>
    <xf numFmtId="0" fontId="2" fillId="0" borderId="106" xfId="6" applyFont="1" applyFill="1" applyBorder="1"/>
    <xf numFmtId="0" fontId="46" fillId="0" borderId="27" xfId="6" applyFont="1" applyFill="1" applyBorder="1" applyAlignment="1">
      <alignment horizontal="center"/>
    </xf>
    <xf numFmtId="0" fontId="46" fillId="0" borderId="27" xfId="6" applyFont="1" applyFill="1" applyBorder="1"/>
    <xf numFmtId="0" fontId="41" fillId="0" borderId="27" xfId="6" applyFont="1" applyFill="1" applyBorder="1" applyAlignment="1">
      <alignment horizontal="right" vertical="center"/>
    </xf>
    <xf numFmtId="178" fontId="23" fillId="0" borderId="22" xfId="6" applyNumberFormat="1" applyFont="1" applyFill="1" applyBorder="1" applyAlignment="1">
      <alignment horizontal="center"/>
    </xf>
    <xf numFmtId="178" fontId="46" fillId="0" borderId="22" xfId="6" applyNumberFormat="1" applyFont="1" applyFill="1" applyBorder="1" applyAlignment="1">
      <alignment horizontal="right"/>
    </xf>
    <xf numFmtId="178" fontId="46" fillId="0" borderId="22" xfId="6" applyNumberFormat="1" applyFont="1" applyFill="1" applyBorder="1"/>
    <xf numFmtId="178" fontId="35" fillId="0" borderId="107" xfId="6" applyNumberFormat="1" applyFont="1" applyFill="1" applyBorder="1" applyAlignment="1">
      <alignment horizontal="right"/>
    </xf>
    <xf numFmtId="178" fontId="41" fillId="0" borderId="108" xfId="6" applyNumberFormat="1" applyFont="1" applyFill="1" applyBorder="1" applyAlignment="1">
      <alignment horizontal="right" vertical="center"/>
    </xf>
    <xf numFmtId="179" fontId="41" fillId="0" borderId="108" xfId="6" applyNumberFormat="1" applyFont="1" applyFill="1" applyBorder="1" applyAlignment="1">
      <alignment horizontal="center" vertical="center"/>
    </xf>
    <xf numFmtId="178" fontId="41" fillId="0" borderId="108" xfId="6" applyNumberFormat="1" applyFont="1" applyFill="1" applyBorder="1" applyAlignment="1">
      <alignment horizontal="center" vertical="center"/>
    </xf>
    <xf numFmtId="178" fontId="41" fillId="0" borderId="108" xfId="6" applyNumberFormat="1" applyFont="1" applyFill="1" applyBorder="1" applyAlignment="1">
      <alignment horizontal="left" vertical="center"/>
    </xf>
    <xf numFmtId="3" fontId="41" fillId="0" borderId="109" xfId="6" applyNumberFormat="1" applyFont="1" applyFill="1" applyBorder="1" applyAlignment="1">
      <alignment horizontal="left" vertical="center"/>
    </xf>
    <xf numFmtId="0" fontId="35" fillId="0" borderId="110" xfId="6" applyFont="1" applyFill="1" applyBorder="1" applyAlignment="1">
      <alignment horizontal="right" vertical="center"/>
    </xf>
    <xf numFmtId="0" fontId="41" fillId="0" borderId="97" xfId="6" applyFont="1" applyFill="1" applyBorder="1" applyAlignment="1">
      <alignment horizontal="center" vertical="center"/>
    </xf>
    <xf numFmtId="3" fontId="41" fillId="0" borderId="97" xfId="6" applyNumberFormat="1" applyFont="1" applyFill="1" applyBorder="1" applyAlignment="1">
      <alignment horizontal="right" vertical="center"/>
    </xf>
    <xf numFmtId="178" fontId="41" fillId="0" borderId="97" xfId="6" applyNumberFormat="1" applyFont="1" applyFill="1" applyBorder="1" applyAlignment="1">
      <alignment horizontal="center" vertical="center"/>
    </xf>
    <xf numFmtId="179" fontId="41" fillId="0" borderId="97" xfId="6" applyNumberFormat="1" applyFont="1" applyFill="1" applyBorder="1" applyAlignment="1">
      <alignment horizontal="center" vertical="center"/>
    </xf>
    <xf numFmtId="179" fontId="41" fillId="0" borderId="111" xfId="6" applyNumberFormat="1" applyFont="1" applyFill="1" applyBorder="1" applyAlignment="1">
      <alignment horizontal="center" vertical="center"/>
    </xf>
    <xf numFmtId="0" fontId="35" fillId="0" borderId="0" xfId="6" applyFont="1" applyFill="1" applyBorder="1"/>
    <xf numFmtId="0" fontId="46" fillId="0" borderId="0" xfId="6" applyFont="1" applyFill="1" applyBorder="1"/>
    <xf numFmtId="0" fontId="23" fillId="0" borderId="0" xfId="6" applyFont="1" applyFill="1" applyBorder="1"/>
    <xf numFmtId="0" fontId="2" fillId="0" borderId="0" xfId="6" applyFont="1" applyFill="1" applyBorder="1" applyAlignment="1">
      <alignment horizontal="center" vertical="top"/>
    </xf>
    <xf numFmtId="0" fontId="46" fillId="0" borderId="0" xfId="6" applyFont="1" applyFill="1" applyBorder="1" applyAlignment="1">
      <alignment horizontal="right"/>
    </xf>
    <xf numFmtId="178" fontId="35" fillId="0" borderId="107" xfId="6" applyNumberFormat="1" applyFont="1" applyFill="1" applyBorder="1" applyAlignment="1">
      <alignment horizontal="right" vertical="center"/>
    </xf>
    <xf numFmtId="0" fontId="46" fillId="0" borderId="112" xfId="6" applyFont="1" applyFill="1" applyBorder="1" applyAlignment="1">
      <alignment vertical="center"/>
    </xf>
    <xf numFmtId="0" fontId="41" fillId="0" borderId="112" xfId="6" applyFont="1" applyFill="1" applyBorder="1" applyAlignment="1">
      <alignment horizontal="center" vertical="center"/>
    </xf>
    <xf numFmtId="1" fontId="41" fillId="0" borderId="109" xfId="6" applyNumberFormat="1" applyFont="1" applyFill="1" applyBorder="1" applyAlignment="1">
      <alignment horizontal="left" vertical="center"/>
    </xf>
    <xf numFmtId="0" fontId="47" fillId="0" borderId="0" xfId="6" applyFont="1" applyFill="1" applyBorder="1"/>
    <xf numFmtId="0" fontId="41" fillId="0" borderId="0" xfId="6" applyFont="1" applyFill="1" applyBorder="1" applyAlignment="1">
      <alignment vertical="center"/>
    </xf>
    <xf numFmtId="178" fontId="35" fillId="0" borderId="110" xfId="6" applyNumberFormat="1" applyFont="1" applyFill="1" applyBorder="1" applyAlignment="1">
      <alignment vertical="center"/>
    </xf>
    <xf numFmtId="0" fontId="23" fillId="0" borderId="97" xfId="6" applyFont="1" applyFill="1" applyBorder="1" applyAlignment="1">
      <alignment vertical="center"/>
    </xf>
    <xf numFmtId="0" fontId="41" fillId="0" borderId="97" xfId="6" applyFont="1" applyFill="1" applyBorder="1" applyAlignment="1">
      <alignment vertical="center"/>
    </xf>
    <xf numFmtId="0" fontId="41" fillId="0" borderId="111" xfId="6" applyFont="1" applyFill="1" applyBorder="1" applyAlignment="1">
      <alignment horizontal="right" vertical="center"/>
    </xf>
    <xf numFmtId="0" fontId="3" fillId="0" borderId="0" xfId="6" applyFont="1" applyFill="1" applyBorder="1" applyAlignment="1">
      <alignment horizontal="right" vertical="center"/>
    </xf>
    <xf numFmtId="0" fontId="47" fillId="0" borderId="0" xfId="15" applyFont="1" applyBorder="1" applyAlignment="1"/>
    <xf numFmtId="0" fontId="3" fillId="0" borderId="0" xfId="15" applyFont="1" applyBorder="1" applyAlignment="1"/>
    <xf numFmtId="0" fontId="35" fillId="0" borderId="0" xfId="6" applyFont="1" applyFill="1" applyBorder="1" applyAlignment="1">
      <alignment horizontal="center"/>
    </xf>
    <xf numFmtId="178" fontId="41" fillId="0" borderId="0" xfId="6" applyNumberFormat="1" applyFont="1" applyFill="1" applyBorder="1" applyAlignment="1">
      <alignment horizontal="center"/>
    </xf>
    <xf numFmtId="0" fontId="3" fillId="0" borderId="0" xfId="6" applyFont="1" applyFill="1" applyBorder="1"/>
    <xf numFmtId="0" fontId="41" fillId="0" borderId="0" xfId="6" applyFont="1" applyFill="1" applyBorder="1" applyAlignment="1">
      <alignment horizontal="right" vertical="center"/>
    </xf>
    <xf numFmtId="0" fontId="35" fillId="0" borderId="113" xfId="6" applyFont="1" applyFill="1" applyBorder="1" applyAlignment="1">
      <alignment horizontal="right" vertical="center"/>
    </xf>
    <xf numFmtId="0" fontId="46" fillId="0" borderId="101" xfId="6" applyFont="1" applyFill="1" applyBorder="1" applyAlignment="1">
      <alignment vertical="center"/>
    </xf>
    <xf numFmtId="178" fontId="41" fillId="0" borderId="101" xfId="6" applyNumberFormat="1" applyFont="1" applyFill="1" applyBorder="1" applyAlignment="1">
      <alignment horizontal="center" vertical="center"/>
    </xf>
    <xf numFmtId="0" fontId="41" fillId="0" borderId="101" xfId="6" applyFont="1" applyFill="1" applyBorder="1" applyAlignment="1">
      <alignment vertical="center"/>
    </xf>
    <xf numFmtId="0" fontId="41" fillId="0" borderId="101" xfId="6" applyFont="1" applyFill="1" applyBorder="1"/>
    <xf numFmtId="0" fontId="41" fillId="0" borderId="114" xfId="6" applyFont="1" applyFill="1" applyBorder="1" applyAlignment="1">
      <alignment horizontal="left" vertical="center"/>
    </xf>
    <xf numFmtId="0" fontId="23" fillId="0" borderId="0" xfId="6" applyFont="1" applyFill="1" applyBorder="1" applyAlignment="1">
      <alignment horizontal="center"/>
    </xf>
    <xf numFmtId="178" fontId="41" fillId="0" borderId="0" xfId="6" applyNumberFormat="1" applyFont="1" applyFill="1" applyBorder="1"/>
    <xf numFmtId="0" fontId="3" fillId="0" borderId="114" xfId="6" applyFont="1" applyFill="1" applyBorder="1" applyAlignment="1">
      <alignment horizontal="center" vertical="center"/>
    </xf>
    <xf numFmtId="0" fontId="41" fillId="0" borderId="115" xfId="6" applyFont="1" applyFill="1" applyBorder="1" applyAlignment="1">
      <alignment vertical="center"/>
    </xf>
    <xf numFmtId="0" fontId="24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46" fillId="0" borderId="115" xfId="6" applyFont="1" applyFill="1" applyBorder="1"/>
    <xf numFmtId="0" fontId="46" fillId="0" borderId="5" xfId="6" applyFont="1" applyFill="1" applyBorder="1"/>
    <xf numFmtId="0" fontId="24" fillId="0" borderId="6" xfId="6" applyFont="1" applyFill="1" applyBorder="1" applyAlignment="1">
      <alignment vertical="center"/>
    </xf>
    <xf numFmtId="0" fontId="3" fillId="0" borderId="6" xfId="6" applyFont="1" applyFill="1" applyBorder="1" applyAlignment="1">
      <alignment vertical="center"/>
    </xf>
    <xf numFmtId="0" fontId="35" fillId="0" borderId="0" xfId="15" applyFont="1" applyFill="1"/>
    <xf numFmtId="0" fontId="35" fillId="5" borderId="116" xfId="6" applyFont="1" applyFill="1" applyBorder="1" applyAlignment="1">
      <alignment horizontal="right" vertical="center"/>
    </xf>
    <xf numFmtId="0" fontId="46" fillId="5" borderId="77" xfId="6" applyFont="1" applyFill="1" applyBorder="1" applyAlignment="1">
      <alignment horizontal="center" vertical="center"/>
    </xf>
    <xf numFmtId="10" fontId="41" fillId="5" borderId="117" xfId="6" applyNumberFormat="1" applyFont="1" applyFill="1" applyBorder="1" applyAlignment="1">
      <alignment horizontal="center" vertical="center"/>
    </xf>
    <xf numFmtId="10" fontId="25" fillId="0" borderId="27" xfId="1" applyNumberFormat="1" applyFont="1" applyBorder="1" applyAlignment="1">
      <alignment vertical="center"/>
    </xf>
    <xf numFmtId="10" fontId="25" fillId="0" borderId="28" xfId="1" applyNumberFormat="1" applyFont="1" applyBorder="1" applyAlignment="1">
      <alignment vertical="center"/>
    </xf>
    <xf numFmtId="170" fontId="27" fillId="0" borderId="26" xfId="41" applyNumberFormat="1" applyFont="1" applyBorder="1" applyAlignment="1">
      <alignment vertical="center"/>
    </xf>
    <xf numFmtId="44" fontId="25" fillId="0" borderId="3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9" fontId="30" fillId="0" borderId="0" xfId="1" applyFont="1" applyFill="1" applyBorder="1" applyAlignment="1">
      <alignment horizontal="center"/>
    </xf>
    <xf numFmtId="4" fontId="10" fillId="7" borderId="0" xfId="2" applyNumberFormat="1" applyFont="1" applyFill="1" applyBorder="1" applyAlignment="1">
      <alignment horizontal="center"/>
    </xf>
    <xf numFmtId="4" fontId="10" fillId="0" borderId="0" xfId="2" applyNumberFormat="1" applyFont="1" applyFill="1" applyBorder="1" applyAlignment="1">
      <alignment horizontal="center" wrapText="1"/>
    </xf>
    <xf numFmtId="0" fontId="10" fillId="0" borderId="70" xfId="2" applyFont="1" applyFill="1" applyBorder="1" applyAlignment="1">
      <alignment horizontal="center" vertical="center"/>
    </xf>
    <xf numFmtId="0" fontId="8" fillId="2" borderId="118" xfId="2" applyFont="1" applyFill="1" applyBorder="1" applyAlignment="1">
      <alignment horizontal="center" vertical="center"/>
    </xf>
    <xf numFmtId="0" fontId="8" fillId="2" borderId="119" xfId="2" applyFont="1" applyFill="1" applyBorder="1" applyAlignment="1">
      <alignment horizontal="center" vertical="center"/>
    </xf>
    <xf numFmtId="0" fontId="8" fillId="2" borderId="119" xfId="2" applyFont="1" applyFill="1" applyBorder="1" applyAlignment="1">
      <alignment horizontal="center" vertical="center" wrapText="1"/>
    </xf>
    <xf numFmtId="0" fontId="8" fillId="2" borderId="119" xfId="2" applyFont="1" applyFill="1" applyBorder="1" applyAlignment="1">
      <alignment horizontal="right" vertical="center"/>
    </xf>
    <xf numFmtId="4" fontId="8" fillId="2" borderId="119" xfId="2" applyNumberFormat="1" applyFont="1" applyFill="1" applyBorder="1" applyAlignment="1">
      <alignment horizontal="center" vertical="center"/>
    </xf>
    <xf numFmtId="2" fontId="8" fillId="2" borderId="119" xfId="2" applyNumberFormat="1" applyFont="1" applyFill="1" applyBorder="1" applyAlignment="1">
      <alignment horizontal="center" vertical="center"/>
    </xf>
    <xf numFmtId="4" fontId="8" fillId="2" borderId="120" xfId="2" applyNumberFormat="1" applyFont="1" applyFill="1" applyBorder="1" applyAlignment="1">
      <alignment horizontal="center" vertical="center"/>
    </xf>
    <xf numFmtId="170" fontId="27" fillId="0" borderId="42" xfId="41" applyNumberFormat="1" applyFont="1" applyBorder="1" applyAlignment="1">
      <alignment vertical="center"/>
    </xf>
    <xf numFmtId="4" fontId="7" fillId="8" borderId="13" xfId="2" applyNumberFormat="1" applyFont="1" applyFill="1" applyBorder="1" applyAlignment="1">
      <alignment horizontal="center"/>
    </xf>
    <xf numFmtId="10" fontId="16" fillId="8" borderId="13" xfId="13" applyNumberFormat="1" applyFont="1" applyFill="1" applyBorder="1" applyAlignment="1">
      <alignment horizontal="center"/>
    </xf>
    <xf numFmtId="0" fontId="19" fillId="0" borderId="57" xfId="42" applyFont="1" applyFill="1" applyBorder="1"/>
    <xf numFmtId="0" fontId="2" fillId="0" borderId="41" xfId="6" applyFont="1" applyFill="1" applyBorder="1"/>
    <xf numFmtId="0" fontId="44" fillId="0" borderId="42" xfId="6" applyFont="1" applyFill="1" applyBorder="1" applyAlignment="1"/>
    <xf numFmtId="0" fontId="35" fillId="0" borderId="124" xfId="6" applyFont="1" applyFill="1" applyBorder="1" applyAlignment="1">
      <alignment horizontal="center"/>
    </xf>
    <xf numFmtId="0" fontId="43" fillId="0" borderId="126" xfId="6" applyFont="1" applyFill="1" applyBorder="1" applyAlignment="1">
      <alignment horizontal="center"/>
    </xf>
    <xf numFmtId="0" fontId="2" fillId="0" borderId="128" xfId="6" applyFont="1" applyFill="1" applyBorder="1" applyAlignment="1">
      <alignment vertical="center"/>
    </xf>
    <xf numFmtId="0" fontId="2" fillId="0" borderId="129" xfId="6" applyFont="1" applyFill="1" applyBorder="1" applyAlignment="1">
      <alignment horizontal="center" vertical="center"/>
    </xf>
    <xf numFmtId="0" fontId="41" fillId="0" borderId="130" xfId="6" applyFont="1" applyFill="1" applyBorder="1"/>
    <xf numFmtId="0" fontId="2" fillId="0" borderId="131" xfId="6" applyFont="1" applyFill="1" applyBorder="1" applyAlignment="1">
      <alignment horizontal="center"/>
    </xf>
    <xf numFmtId="0" fontId="41" fillId="0" borderId="44" xfId="6" applyFont="1" applyFill="1" applyBorder="1" applyAlignment="1">
      <alignment horizontal="left" vertical="center"/>
    </xf>
    <xf numFmtId="0" fontId="46" fillId="0" borderId="42" xfId="6" applyFont="1" applyFill="1" applyBorder="1"/>
    <xf numFmtId="0" fontId="46" fillId="0" borderId="43" xfId="6" applyFont="1" applyFill="1" applyBorder="1"/>
    <xf numFmtId="178" fontId="46" fillId="0" borderId="44" xfId="6" applyNumberFormat="1" applyFont="1" applyFill="1" applyBorder="1" applyAlignment="1">
      <alignment horizontal="right"/>
    </xf>
    <xf numFmtId="0" fontId="46" fillId="0" borderId="10" xfId="6" applyFont="1" applyFill="1" applyBorder="1"/>
    <xf numFmtId="178" fontId="3" fillId="0" borderId="134" xfId="6" applyNumberFormat="1" applyFont="1" applyFill="1" applyBorder="1" applyAlignment="1">
      <alignment horizontal="center" vertical="center"/>
    </xf>
    <xf numFmtId="0" fontId="3" fillId="0" borderId="134" xfId="6" applyFont="1" applyFill="1" applyBorder="1" applyAlignment="1">
      <alignment horizontal="center" vertical="center"/>
    </xf>
    <xf numFmtId="0" fontId="23" fillId="0" borderId="10" xfId="6" applyFont="1" applyFill="1" applyBorder="1"/>
    <xf numFmtId="0" fontId="46" fillId="0" borderId="11" xfId="6" applyFont="1" applyFill="1" applyBorder="1"/>
    <xf numFmtId="0" fontId="3" fillId="0" borderId="10" xfId="6" applyFont="1" applyFill="1" applyBorder="1"/>
    <xf numFmtId="0" fontId="3" fillId="0" borderId="11" xfId="15" applyFont="1" applyBorder="1" applyAlignment="1"/>
    <xf numFmtId="0" fontId="3" fillId="0" borderId="55" xfId="6" applyFont="1" applyFill="1" applyBorder="1"/>
    <xf numFmtId="0" fontId="35" fillId="0" borderId="56" xfId="6" applyFont="1" applyFill="1" applyBorder="1" applyAlignment="1">
      <alignment horizontal="right" vertical="center"/>
    </xf>
    <xf numFmtId="0" fontId="46" fillId="0" borderId="56" xfId="6" applyFont="1" applyFill="1" applyBorder="1" applyAlignment="1">
      <alignment horizontal="center" vertical="center"/>
    </xf>
    <xf numFmtId="10" fontId="41" fillId="0" borderId="56" xfId="6" applyNumberFormat="1" applyFont="1" applyFill="1" applyBorder="1" applyAlignment="1">
      <alignment horizontal="center" vertical="center"/>
    </xf>
    <xf numFmtId="0" fontId="3" fillId="0" borderId="135" xfId="6" applyFont="1" applyFill="1" applyBorder="1" applyAlignment="1">
      <alignment horizontal="center" vertical="center"/>
    </xf>
    <xf numFmtId="0" fontId="3" fillId="0" borderId="56" xfId="6" applyFont="1" applyFill="1" applyBorder="1"/>
    <xf numFmtId="0" fontId="41" fillId="0" borderId="56" xfId="6" applyFont="1" applyFill="1" applyBorder="1" applyAlignment="1">
      <alignment horizontal="right" vertical="center"/>
    </xf>
    <xf numFmtId="0" fontId="3" fillId="0" borderId="56" xfId="6" applyFont="1" applyFill="1" applyBorder="1" applyAlignment="1">
      <alignment horizontal="right" vertical="center"/>
    </xf>
    <xf numFmtId="0" fontId="47" fillId="0" borderId="56" xfId="15" applyFont="1" applyBorder="1" applyAlignment="1"/>
    <xf numFmtId="0" fontId="3" fillId="0" borderId="56" xfId="15" applyFont="1" applyBorder="1" applyAlignment="1"/>
    <xf numFmtId="0" fontId="3" fillId="0" borderId="57" xfId="15" applyFont="1" applyBorder="1" applyAlignment="1"/>
    <xf numFmtId="0" fontId="10" fillId="0" borderId="70" xfId="2" applyFont="1" applyFill="1" applyBorder="1" applyAlignment="1">
      <alignment horizontal="center" vertical="center"/>
    </xf>
    <xf numFmtId="180" fontId="0" fillId="0" borderId="0" xfId="244" applyNumberFormat="1" applyFont="1"/>
    <xf numFmtId="181" fontId="0" fillId="0" borderId="0" xfId="0" applyNumberFormat="1"/>
    <xf numFmtId="0" fontId="10" fillId="0" borderId="70" xfId="2" applyFont="1" applyFill="1" applyBorder="1" applyAlignment="1">
      <alignment horizontal="center" vertical="center"/>
    </xf>
    <xf numFmtId="43" fontId="0" fillId="0" borderId="0" xfId="244" applyFont="1"/>
    <xf numFmtId="9" fontId="0" fillId="0" borderId="0" xfId="0" applyNumberFormat="1"/>
    <xf numFmtId="0" fontId="10" fillId="0" borderId="70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43" fontId="0" fillId="0" borderId="0" xfId="0" applyNumberFormat="1" applyFill="1"/>
    <xf numFmtId="10" fontId="6" fillId="6" borderId="0" xfId="1" applyNumberFormat="1" applyFont="1" applyFill="1" applyBorder="1" applyAlignment="1"/>
    <xf numFmtId="10" fontId="19" fillId="0" borderId="0" xfId="1" applyNumberFormat="1" applyFont="1" applyFill="1" applyBorder="1" applyAlignment="1">
      <alignment horizontal="right"/>
    </xf>
    <xf numFmtId="0" fontId="35" fillId="0" borderId="29" xfId="47" applyFont="1" applyFill="1" applyBorder="1" applyAlignment="1">
      <alignment horizontal="left" vertical="center" wrapText="1"/>
    </xf>
    <xf numFmtId="0" fontId="35" fillId="9" borderId="49" xfId="47" applyFont="1" applyFill="1" applyBorder="1" applyAlignment="1">
      <alignment horizontal="center" vertical="center" wrapText="1"/>
    </xf>
    <xf numFmtId="0" fontId="2" fillId="0" borderId="29" xfId="47" applyFont="1" applyBorder="1" applyAlignment="1">
      <alignment horizontal="left" vertical="center" wrapText="1"/>
    </xf>
    <xf numFmtId="0" fontId="2" fillId="0" borderId="49" xfId="47" applyFont="1" applyFill="1" applyBorder="1" applyAlignment="1">
      <alignment horizontal="center" vertical="center"/>
    </xf>
    <xf numFmtId="2" fontId="2" fillId="0" borderId="29" xfId="47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171" fontId="27" fillId="0" borderId="0" xfId="0" applyNumberFormat="1" applyFont="1" applyBorder="1" applyAlignment="1">
      <alignment horizontal="left" vertical="center"/>
    </xf>
    <xf numFmtId="10" fontId="23" fillId="0" borderId="0" xfId="1" applyNumberFormat="1" applyFont="1" applyBorder="1" applyAlignment="1">
      <alignment horizontal="center" vertical="center"/>
    </xf>
    <xf numFmtId="10" fontId="26" fillId="0" borderId="0" xfId="1" applyNumberFormat="1" applyFont="1" applyBorder="1" applyAlignment="1">
      <alignment horizontal="left" vertical="center"/>
    </xf>
    <xf numFmtId="10" fontId="27" fillId="0" borderId="0" xfId="1" applyNumberFormat="1" applyFont="1" applyBorder="1" applyAlignment="1">
      <alignment horizontal="left" vertical="center"/>
    </xf>
    <xf numFmtId="10" fontId="27" fillId="0" borderId="0" xfId="1" applyNumberFormat="1" applyFont="1" applyBorder="1" applyAlignment="1">
      <alignment horizontal="center" vertical="center"/>
    </xf>
    <xf numFmtId="10" fontId="26" fillId="0" borderId="0" xfId="1" applyNumberFormat="1" applyFont="1" applyBorder="1" applyAlignment="1">
      <alignment horizontal="center" vertical="center"/>
    </xf>
    <xf numFmtId="10" fontId="17" fillId="11" borderId="0" xfId="1" applyNumberFormat="1" applyFont="1" applyFill="1" applyBorder="1" applyAlignment="1">
      <alignment horizontal="center" vertical="center"/>
    </xf>
    <xf numFmtId="10" fontId="7" fillId="12" borderId="0" xfId="1" applyNumberFormat="1" applyFont="1" applyFill="1" applyBorder="1" applyAlignment="1">
      <alignment horizontal="center"/>
    </xf>
    <xf numFmtId="10" fontId="7" fillId="0" borderId="0" xfId="1" applyNumberFormat="1" applyFont="1" applyFill="1" applyBorder="1" applyAlignment="1">
      <alignment horizontal="center"/>
    </xf>
    <xf numFmtId="10" fontId="7" fillId="7" borderId="0" xfId="1" applyNumberFormat="1" applyFont="1" applyFill="1" applyBorder="1" applyAlignment="1">
      <alignment horizontal="center" vertical="center"/>
    </xf>
    <xf numFmtId="10" fontId="10" fillId="0" borderId="0" xfId="1" applyNumberFormat="1" applyFont="1" applyFill="1" applyBorder="1" applyAlignment="1">
      <alignment horizontal="center" vertical="center"/>
    </xf>
    <xf numFmtId="10" fontId="11" fillId="0" borderId="0" xfId="1" applyNumberFormat="1" applyFont="1" applyFill="1" applyBorder="1" applyAlignment="1"/>
    <xf numFmtId="10" fontId="8" fillId="9" borderId="0" xfId="1" applyNumberFormat="1" applyFont="1" applyFill="1" applyBorder="1" applyAlignment="1">
      <alignment horizontal="center" vertical="center"/>
    </xf>
    <xf numFmtId="10" fontId="11" fillId="0" borderId="0" xfId="1" applyNumberFormat="1" applyFont="1" applyFill="1" applyBorder="1" applyAlignment="1">
      <alignment horizontal="center"/>
    </xf>
    <xf numFmtId="10" fontId="0" fillId="0" borderId="0" xfId="1" applyNumberFormat="1" applyFont="1"/>
    <xf numFmtId="0" fontId="12" fillId="0" borderId="78" xfId="2" applyFont="1" applyFill="1" applyBorder="1" applyAlignment="1">
      <alignment horizontal="center" vertical="center"/>
    </xf>
    <xf numFmtId="0" fontId="12" fillId="0" borderId="70" xfId="2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vertical="center" wrapText="1"/>
    </xf>
    <xf numFmtId="4" fontId="12" fillId="0" borderId="70" xfId="2" applyNumberFormat="1" applyFont="1" applyFill="1" applyBorder="1" applyAlignment="1">
      <alignment horizontal="center" vertical="center"/>
    </xf>
    <xf numFmtId="4" fontId="12" fillId="0" borderId="79" xfId="2" applyNumberFormat="1" applyFont="1" applyFill="1" applyBorder="1" applyAlignment="1">
      <alignment horizontal="center" vertical="center"/>
    </xf>
    <xf numFmtId="10" fontId="12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48" fillId="0" borderId="0" xfId="0" applyFont="1"/>
    <xf numFmtId="0" fontId="23" fillId="0" borderId="0" xfId="0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left" vertical="center"/>
    </xf>
    <xf numFmtId="0" fontId="17" fillId="11" borderId="0" xfId="0" applyFont="1" applyFill="1" applyBorder="1" applyAlignment="1">
      <alignment horizontal="left" vertical="center"/>
    </xf>
    <xf numFmtId="0" fontId="7" fillId="12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7" fillId="7" borderId="0" xfId="2" applyNumberFormat="1" applyFont="1" applyFill="1" applyBorder="1" applyAlignment="1">
      <alignment horizontal="left" vertical="center"/>
    </xf>
    <xf numFmtId="4" fontId="10" fillId="0" borderId="0" xfId="2" applyNumberFormat="1" applyFont="1" applyFill="1" applyBorder="1" applyAlignment="1">
      <alignment horizontal="left" vertical="center"/>
    </xf>
    <xf numFmtId="4" fontId="12" fillId="0" borderId="0" xfId="2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4" fontId="8" fillId="9" borderId="0" xfId="2" applyNumberFormat="1" applyFont="1" applyFill="1" applyBorder="1" applyAlignment="1">
      <alignment horizontal="left" vertical="center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2" fillId="0" borderId="70" xfId="2" applyFont="1" applyFill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22" xfId="0" applyFont="1" applyBorder="1" applyAlignment="1">
      <alignment horizontal="left" vertical="center"/>
    </xf>
    <xf numFmtId="0" fontId="26" fillId="0" borderId="44" xfId="0" applyFont="1" applyBorder="1" applyAlignment="1">
      <alignment horizontal="left" vertical="center"/>
    </xf>
    <xf numFmtId="171" fontId="27" fillId="0" borderId="26" xfId="0" applyNumberFormat="1" applyFont="1" applyBorder="1" applyAlignment="1">
      <alignment horizontal="center" vertical="center"/>
    </xf>
    <xf numFmtId="171" fontId="27" fillId="0" borderId="42" xfId="0" applyNumberFormat="1" applyFont="1" applyBorder="1" applyAlignment="1">
      <alignment horizontal="center" vertical="center"/>
    </xf>
    <xf numFmtId="171" fontId="27" fillId="0" borderId="27" xfId="0" quotePrefix="1" applyNumberFormat="1" applyFont="1" applyBorder="1" applyAlignment="1">
      <alignment horizontal="left" vertical="center"/>
    </xf>
    <xf numFmtId="171" fontId="27" fillId="0" borderId="42" xfId="0" applyNumberFormat="1" applyFont="1" applyBorder="1" applyAlignment="1">
      <alignment horizontal="left" vertical="center"/>
    </xf>
    <xf numFmtId="0" fontId="26" fillId="0" borderId="43" xfId="0" applyFont="1" applyBorder="1" applyAlignment="1">
      <alignment horizontal="left" vertical="center"/>
    </xf>
    <xf numFmtId="0" fontId="26" fillId="0" borderId="23" xfId="0" applyFont="1" applyBorder="1" applyAlignment="1">
      <alignment horizontal="left" vertical="center"/>
    </xf>
    <xf numFmtId="0" fontId="27" fillId="0" borderId="41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10" fontId="27" fillId="0" borderId="26" xfId="0" applyNumberFormat="1" applyFont="1" applyBorder="1" applyAlignment="1">
      <alignment horizontal="left" vertical="center"/>
    </xf>
    <xf numFmtId="10" fontId="27" fillId="0" borderId="27" xfId="0" applyNumberFormat="1" applyFont="1" applyBorder="1" applyAlignment="1">
      <alignment horizontal="left" vertical="center"/>
    </xf>
    <xf numFmtId="10" fontId="27" fillId="0" borderId="28" xfId="0" applyNumberFormat="1" applyFont="1" applyBorder="1" applyAlignment="1">
      <alignment horizontal="left" vertical="center"/>
    </xf>
    <xf numFmtId="0" fontId="27" fillId="0" borderId="42" xfId="0" applyFont="1" applyBorder="1" applyAlignment="1">
      <alignment horizontal="left" vertical="center"/>
    </xf>
    <xf numFmtId="49" fontId="27" fillId="0" borderId="26" xfId="0" applyNumberFormat="1" applyFont="1" applyBorder="1" applyAlignment="1">
      <alignment horizontal="center" vertical="center"/>
    </xf>
    <xf numFmtId="49" fontId="27" fillId="0" borderId="42" xfId="0" applyNumberFormat="1" applyFont="1" applyBorder="1" applyAlignment="1">
      <alignment horizontal="center" vertical="center"/>
    </xf>
    <xf numFmtId="170" fontId="27" fillId="0" borderId="27" xfId="41" applyNumberFormat="1" applyFont="1" applyBorder="1" applyAlignment="1">
      <alignment horizontal="left" vertical="center"/>
    </xf>
    <xf numFmtId="170" fontId="27" fillId="0" borderId="28" xfId="41" applyNumberFormat="1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1" fillId="0" borderId="55" xfId="0" applyFont="1" applyFill="1" applyBorder="1" applyAlignment="1">
      <alignment horizontal="center"/>
    </xf>
    <xf numFmtId="0" fontId="11" fillId="0" borderId="56" xfId="0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4" fontId="8" fillId="9" borderId="77" xfId="2" applyNumberFormat="1" applyFont="1" applyFill="1" applyBorder="1" applyAlignment="1">
      <alignment horizontal="center" vertical="center"/>
    </xf>
    <xf numFmtId="0" fontId="17" fillId="11" borderId="78" xfId="0" applyFont="1" applyFill="1" applyBorder="1" applyAlignment="1">
      <alignment horizontal="center" vertical="center"/>
    </xf>
    <xf numFmtId="0" fontId="17" fillId="11" borderId="70" xfId="0" applyFont="1" applyFill="1" applyBorder="1" applyAlignment="1">
      <alignment horizontal="center" vertical="center"/>
    </xf>
    <xf numFmtId="0" fontId="10" fillId="0" borderId="72" xfId="2" applyFont="1" applyFill="1" applyBorder="1" applyAlignment="1">
      <alignment horizontal="center" vertical="center"/>
    </xf>
    <xf numFmtId="0" fontId="10" fillId="0" borderId="74" xfId="2" applyFont="1" applyFill="1" applyBorder="1" applyAlignment="1">
      <alignment horizontal="center" vertical="center"/>
    </xf>
    <xf numFmtId="0" fontId="10" fillId="0" borderId="70" xfId="2" applyFont="1" applyFill="1" applyBorder="1" applyAlignment="1">
      <alignment horizontal="center" vertical="center"/>
    </xf>
    <xf numFmtId="0" fontId="17" fillId="11" borderId="84" xfId="0" applyFont="1" applyFill="1" applyBorder="1" applyAlignment="1">
      <alignment horizontal="center" vertical="center"/>
    </xf>
    <xf numFmtId="0" fontId="17" fillId="11" borderId="73" xfId="0" applyFont="1" applyFill="1" applyBorder="1" applyAlignment="1">
      <alignment horizontal="center" vertical="center"/>
    </xf>
    <xf numFmtId="0" fontId="17" fillId="11" borderId="76" xfId="0" applyFont="1" applyFill="1" applyBorder="1" applyAlignment="1">
      <alignment horizontal="center" vertical="center"/>
    </xf>
    <xf numFmtId="0" fontId="17" fillId="11" borderId="85" xfId="0" applyFont="1" applyFill="1" applyBorder="1" applyAlignment="1">
      <alignment horizontal="center" vertical="center"/>
    </xf>
    <xf numFmtId="0" fontId="17" fillId="11" borderId="86" xfId="0" applyFont="1" applyFill="1" applyBorder="1" applyAlignment="1">
      <alignment horizontal="center" vertical="center"/>
    </xf>
    <xf numFmtId="0" fontId="17" fillId="11" borderId="87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2" xfId="0" applyBorder="1" applyAlignment="1">
      <alignment horizontal="center"/>
    </xf>
    <xf numFmtId="0" fontId="27" fillId="0" borderId="42" xfId="0" applyNumberFormat="1" applyFont="1" applyBorder="1" applyAlignment="1">
      <alignment horizontal="center" vertical="center"/>
    </xf>
    <xf numFmtId="0" fontId="35" fillId="9" borderId="29" xfId="47" applyFont="1" applyFill="1" applyBorder="1" applyAlignment="1">
      <alignment horizontal="left" vertical="center" wrapText="1"/>
    </xf>
    <xf numFmtId="0" fontId="35" fillId="9" borderId="50" xfId="47" applyFont="1" applyFill="1" applyBorder="1" applyAlignment="1">
      <alignment horizontal="left" vertical="center" wrapText="1"/>
    </xf>
    <xf numFmtId="0" fontId="35" fillId="0" borderId="49" xfId="47" applyFont="1" applyFill="1" applyBorder="1" applyAlignment="1">
      <alignment horizontal="left" vertical="center" wrapText="1"/>
    </xf>
    <xf numFmtId="0" fontId="35" fillId="0" borderId="29" xfId="47" applyFont="1" applyFill="1" applyBorder="1" applyAlignment="1">
      <alignment horizontal="left" vertical="center" wrapText="1"/>
    </xf>
    <xf numFmtId="0" fontId="35" fillId="0" borderId="50" xfId="47" applyFont="1" applyFill="1" applyBorder="1" applyAlignment="1">
      <alignment horizontal="left" vertical="center" wrapText="1"/>
    </xf>
    <xf numFmtId="165" fontId="41" fillId="2" borderId="68" xfId="48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49" fontId="27" fillId="0" borderId="24" xfId="0" applyNumberFormat="1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7" fillId="0" borderId="24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171" fontId="27" fillId="0" borderId="27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171" fontId="27" fillId="0" borderId="26" xfId="0" quotePrefix="1" applyNumberFormat="1" applyFont="1" applyBorder="1" applyAlignment="1">
      <alignment horizontal="left" vertical="center"/>
    </xf>
    <xf numFmtId="171" fontId="27" fillId="0" borderId="27" xfId="0" applyNumberFormat="1" applyFont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11" borderId="37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64" xfId="0" applyFont="1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0" fontId="28" fillId="0" borderId="47" xfId="42" applyFont="1" applyFill="1" applyBorder="1" applyAlignment="1">
      <alignment horizontal="center" vertical="center"/>
    </xf>
    <xf numFmtId="0" fontId="28" fillId="0" borderId="30" xfId="42" applyFont="1" applyFill="1" applyBorder="1" applyAlignment="1">
      <alignment horizontal="center" vertical="center"/>
    </xf>
    <xf numFmtId="0" fontId="25" fillId="0" borderId="41" xfId="0" applyNumberFormat="1" applyFont="1" applyBorder="1" applyAlignment="1">
      <alignment horizontal="left" vertical="center"/>
    </xf>
    <xf numFmtId="0" fontId="25" fillId="0" borderId="27" xfId="0" applyNumberFormat="1" applyFont="1" applyBorder="1" applyAlignment="1">
      <alignment horizontal="left" vertical="center"/>
    </xf>
    <xf numFmtId="0" fontId="25" fillId="0" borderId="28" xfId="0" applyNumberFormat="1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17" fillId="5" borderId="59" xfId="2" applyFont="1" applyFill="1" applyBorder="1" applyAlignment="1">
      <alignment horizontal="center" vertical="center"/>
    </xf>
    <xf numFmtId="0" fontId="17" fillId="5" borderId="60" xfId="2" applyFont="1" applyFill="1" applyBorder="1" applyAlignment="1">
      <alignment horizontal="center" vertical="center"/>
    </xf>
    <xf numFmtId="44" fontId="17" fillId="5" borderId="61" xfId="41" applyFont="1" applyFill="1" applyBorder="1" applyAlignment="1">
      <alignment horizontal="center" vertical="center"/>
    </xf>
    <xf numFmtId="44" fontId="17" fillId="5" borderId="62" xfId="41" applyFont="1" applyFill="1" applyBorder="1" applyAlignment="1">
      <alignment horizontal="center" vertical="center"/>
    </xf>
    <xf numFmtId="44" fontId="17" fillId="5" borderId="63" xfId="41" applyFont="1" applyFill="1" applyBorder="1" applyAlignment="1">
      <alignment horizontal="center" vertical="center"/>
    </xf>
    <xf numFmtId="4" fontId="7" fillId="8" borderId="5" xfId="2" applyNumberFormat="1" applyFont="1" applyFill="1" applyBorder="1" applyAlignment="1">
      <alignment horizontal="center" vertical="center"/>
    </xf>
    <xf numFmtId="4" fontId="7" fillId="8" borderId="6" xfId="2" applyNumberFormat="1" applyFont="1" applyFill="1" applyBorder="1" applyAlignment="1">
      <alignment horizontal="center" vertical="center"/>
    </xf>
    <xf numFmtId="4" fontId="7" fillId="8" borderId="14" xfId="2" applyNumberFormat="1" applyFont="1" applyFill="1" applyBorder="1" applyAlignment="1">
      <alignment horizontal="center" vertical="center"/>
    </xf>
    <xf numFmtId="0" fontId="7" fillId="4" borderId="12" xfId="2" applyFont="1" applyFill="1" applyBorder="1" applyAlignment="1">
      <alignment horizontal="center" vertical="top"/>
    </xf>
    <xf numFmtId="0" fontId="7" fillId="4" borderId="1" xfId="2" applyFont="1" applyFill="1" applyBorder="1" applyAlignment="1">
      <alignment horizontal="center" vertical="top"/>
    </xf>
    <xf numFmtId="0" fontId="7" fillId="8" borderId="36" xfId="2" applyFont="1" applyFill="1" applyBorder="1" applyAlignment="1">
      <alignment horizontal="center" vertical="center"/>
    </xf>
    <xf numFmtId="0" fontId="7" fillId="8" borderId="20" xfId="2" applyFont="1" applyFill="1" applyBorder="1" applyAlignment="1">
      <alignment horizontal="center" vertical="center"/>
    </xf>
    <xf numFmtId="0" fontId="24" fillId="0" borderId="44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0" fillId="0" borderId="47" xfId="42" applyFont="1" applyFill="1" applyBorder="1" applyAlignment="1">
      <alignment horizontal="center" vertical="center"/>
    </xf>
    <xf numFmtId="0" fontId="20" fillId="0" borderId="30" xfId="42" applyFont="1" applyFill="1" applyBorder="1" applyAlignment="1">
      <alignment horizontal="center" vertical="center"/>
    </xf>
    <xf numFmtId="0" fontId="20" fillId="0" borderId="48" xfId="42" applyFont="1" applyFill="1" applyBorder="1" applyAlignment="1">
      <alignment horizontal="center" vertical="center"/>
    </xf>
    <xf numFmtId="0" fontId="5" fillId="7" borderId="0" xfId="2" applyFont="1" applyFill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28" fillId="0" borderId="48" xfId="42" applyFont="1" applyFill="1" applyBorder="1" applyAlignment="1">
      <alignment horizontal="center" vertical="center"/>
    </xf>
    <xf numFmtId="171" fontId="25" fillId="0" borderId="0" xfId="0" quotePrefix="1" applyNumberFormat="1" applyFont="1" applyBorder="1" applyAlignment="1">
      <alignment horizontal="left" vertical="center"/>
    </xf>
    <xf numFmtId="171" fontId="25" fillId="0" borderId="0" xfId="0" applyNumberFormat="1" applyFont="1" applyBorder="1" applyAlignment="1">
      <alignment horizontal="left" vertical="center"/>
    </xf>
    <xf numFmtId="0" fontId="41" fillId="0" borderId="132" xfId="6" applyFont="1" applyFill="1" applyBorder="1" applyAlignment="1">
      <alignment horizontal="center" vertical="center"/>
    </xf>
    <xf numFmtId="0" fontId="41" fillId="0" borderId="133" xfId="6" applyFont="1" applyFill="1" applyBorder="1" applyAlignment="1">
      <alignment horizontal="center" vertical="center"/>
    </xf>
    <xf numFmtId="10" fontId="3" fillId="0" borderId="0" xfId="15" applyNumberFormat="1" applyFont="1" applyAlignment="1">
      <alignment horizontal="left"/>
    </xf>
    <xf numFmtId="0" fontId="2" fillId="0" borderId="99" xfId="6" applyFont="1" applyFill="1" applyBorder="1" applyAlignment="1">
      <alignment horizontal="center" vertical="center"/>
    </xf>
    <xf numFmtId="0" fontId="2" fillId="0" borderId="100" xfId="6" applyFont="1" applyFill="1" applyBorder="1" applyAlignment="1">
      <alignment horizontal="center" vertical="center"/>
    </xf>
    <xf numFmtId="0" fontId="2" fillId="0" borderId="102" xfId="6" applyFont="1" applyFill="1" applyBorder="1" applyAlignment="1">
      <alignment horizontal="center" vertical="center"/>
    </xf>
    <xf numFmtId="0" fontId="2" fillId="0" borderId="96" xfId="6" applyFont="1" applyFill="1" applyBorder="1" applyAlignment="1">
      <alignment horizontal="center" vertical="center"/>
    </xf>
    <xf numFmtId="0" fontId="23" fillId="0" borderId="121" xfId="6" applyFont="1" applyFill="1" applyBorder="1" applyAlignment="1">
      <alignment horizontal="center" vertical="center" wrapText="1"/>
    </xf>
    <xf numFmtId="0" fontId="23" fillId="0" borderId="122" xfId="6" applyFont="1" applyFill="1" applyBorder="1" applyAlignment="1">
      <alignment horizontal="center" vertical="center" wrapText="1"/>
    </xf>
    <xf numFmtId="0" fontId="23" fillId="0" borderId="123" xfId="6" applyFont="1" applyFill="1" applyBorder="1" applyAlignment="1">
      <alignment horizontal="center" vertical="center" wrapText="1"/>
    </xf>
    <xf numFmtId="0" fontId="42" fillId="0" borderId="43" xfId="6" applyFont="1" applyFill="1" applyBorder="1" applyAlignment="1">
      <alignment horizontal="center" vertical="center" wrapText="1"/>
    </xf>
    <xf numFmtId="0" fontId="42" fillId="0" borderId="22" xfId="6" applyFont="1" applyFill="1" applyBorder="1" applyAlignment="1">
      <alignment horizontal="center" vertical="center" wrapText="1"/>
    </xf>
    <xf numFmtId="0" fontId="42" fillId="0" borderId="44" xfId="6" applyFont="1" applyFill="1" applyBorder="1" applyAlignment="1">
      <alignment horizontal="center" vertical="center" wrapText="1"/>
    </xf>
    <xf numFmtId="0" fontId="35" fillId="0" borderId="88" xfId="6" applyFont="1" applyFill="1" applyBorder="1" applyAlignment="1">
      <alignment horizontal="center" vertical="center"/>
    </xf>
    <xf numFmtId="0" fontId="35" fillId="0" borderId="91" xfId="6" applyFont="1" applyFill="1" applyBorder="1" applyAlignment="1">
      <alignment horizontal="center" vertical="center"/>
    </xf>
    <xf numFmtId="0" fontId="35" fillId="0" borderId="89" xfId="6" applyFont="1" applyFill="1" applyBorder="1" applyAlignment="1">
      <alignment horizontal="center" vertical="center"/>
    </xf>
    <xf numFmtId="0" fontId="35" fillId="0" borderId="92" xfId="6" applyFont="1" applyFill="1" applyBorder="1" applyAlignment="1">
      <alignment horizontal="center" vertical="center"/>
    </xf>
    <xf numFmtId="0" fontId="35" fillId="0" borderId="21" xfId="6" applyFont="1" applyFill="1" applyBorder="1" applyAlignment="1">
      <alignment horizontal="center" vertical="center"/>
    </xf>
    <xf numFmtId="0" fontId="35" fillId="0" borderId="22" xfId="6" applyFont="1" applyFill="1" applyBorder="1" applyAlignment="1">
      <alignment horizontal="center" vertical="center"/>
    </xf>
    <xf numFmtId="0" fontId="35" fillId="0" borderId="23" xfId="6" applyFont="1" applyFill="1" applyBorder="1" applyAlignment="1">
      <alignment horizontal="center" vertical="center"/>
    </xf>
    <xf numFmtId="0" fontId="35" fillId="0" borderId="26" xfId="6" applyFont="1" applyFill="1" applyBorder="1" applyAlignment="1">
      <alignment horizontal="center" vertical="center"/>
    </xf>
    <xf numFmtId="0" fontId="35" fillId="0" borderId="27" xfId="6" applyFont="1" applyFill="1" applyBorder="1" applyAlignment="1">
      <alignment horizontal="center" vertical="center"/>
    </xf>
    <xf numFmtId="0" fontId="35" fillId="0" borderId="28" xfId="6" applyFont="1" applyFill="1" applyBorder="1" applyAlignment="1">
      <alignment horizontal="center" vertical="center"/>
    </xf>
    <xf numFmtId="0" fontId="35" fillId="0" borderId="90" xfId="6" applyFont="1" applyFill="1" applyBorder="1" applyAlignment="1">
      <alignment horizontal="center" vertical="center"/>
    </xf>
    <xf numFmtId="0" fontId="35" fillId="0" borderId="93" xfId="6" applyFont="1" applyFill="1" applyBorder="1" applyAlignment="1">
      <alignment horizontal="center" vertical="center"/>
    </xf>
    <xf numFmtId="0" fontId="35" fillId="0" borderId="94" xfId="6" applyFont="1" applyFill="1" applyBorder="1" applyAlignment="1">
      <alignment horizontal="center" vertical="center"/>
    </xf>
    <xf numFmtId="0" fontId="35" fillId="0" borderId="95" xfId="6" applyFont="1" applyFill="1" applyBorder="1" applyAlignment="1">
      <alignment horizontal="center" vertical="center"/>
    </xf>
    <xf numFmtId="0" fontId="35" fillId="0" borderId="125" xfId="6" applyFont="1" applyFill="1" applyBorder="1" applyAlignment="1">
      <alignment horizontal="center" vertical="center"/>
    </xf>
    <xf numFmtId="0" fontId="35" fillId="0" borderId="127" xfId="6" applyFont="1" applyFill="1" applyBorder="1" applyAlignment="1">
      <alignment horizontal="center" vertical="center"/>
    </xf>
  </cellXfs>
  <cellStyles count="245">
    <cellStyle name="0,0_x000d__x000a_NA_x000d__x000a_" xfId="49"/>
    <cellStyle name="Data" xfId="50"/>
    <cellStyle name="Excel Built-in Normal" xfId="242"/>
    <cellStyle name="Excel Built-in Normal 1" xfId="243"/>
    <cellStyle name="Fixo" xfId="51"/>
    <cellStyle name="Moeda" xfId="41" builtinId="4"/>
    <cellStyle name="Moeda 2" xfId="10"/>
    <cellStyle name="Moeda 3" xfId="14"/>
    <cellStyle name="Normal" xfId="0" builtinId="0"/>
    <cellStyle name="Normal 10" xfId="52"/>
    <cellStyle name="Normal 11" xfId="45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3"/>
    <cellStyle name="Normal 2 2" xfId="5"/>
    <cellStyle name="Normal 2 2 2" xfId="61"/>
    <cellStyle name="Normal 2 2 2 2" xfId="62"/>
    <cellStyle name="Normal 2 2 3" xfId="63"/>
    <cellStyle name="Normal 2 3" xfId="15"/>
    <cellStyle name="Normal 2 3 2" xfId="16"/>
    <cellStyle name="Normal 2 3 3" xfId="17"/>
    <cellStyle name="Normal 2 4" xfId="18"/>
    <cellStyle name="Normal 2 4 2" xfId="42"/>
    <cellStyle name="Normal 20" xfId="64"/>
    <cellStyle name="Normal 21" xfId="65"/>
    <cellStyle name="Normal 22" xfId="66"/>
    <cellStyle name="Normal 23" xfId="67"/>
    <cellStyle name="Normal 24" xfId="68"/>
    <cellStyle name="Normal 25" xfId="69"/>
    <cellStyle name="Normal 26" xfId="70"/>
    <cellStyle name="Normal 27" xfId="71"/>
    <cellStyle name="Normal 28" xfId="72"/>
    <cellStyle name="Normal 29" xfId="73"/>
    <cellStyle name="Normal 3" xfId="6"/>
    <cellStyle name="Normal 3 2" xfId="19"/>
    <cellStyle name="Normal 3 2 2" xfId="20"/>
    <cellStyle name="Normal 3 2 3" xfId="21"/>
    <cellStyle name="Normal 3 3" xfId="22"/>
    <cellStyle name="Normal 30" xfId="74"/>
    <cellStyle name="Normal 31" xfId="75"/>
    <cellStyle name="Normal 32" xfId="76"/>
    <cellStyle name="Normal 33" xfId="77"/>
    <cellStyle name="Normal 34" xfId="78"/>
    <cellStyle name="Normal 35" xfId="79"/>
    <cellStyle name="Normal 36" xfId="80"/>
    <cellStyle name="Normal 37" xfId="81"/>
    <cellStyle name="Normal 38" xfId="82"/>
    <cellStyle name="Normal 39" xfId="83"/>
    <cellStyle name="Normal 4" xfId="11"/>
    <cellStyle name="Normal 4 10" xfId="84"/>
    <cellStyle name="Normal 4 11" xfId="85"/>
    <cellStyle name="Normal 4 12" xfId="86"/>
    <cellStyle name="Normal 4 13" xfId="87"/>
    <cellStyle name="Normal 4 14" xfId="88"/>
    <cellStyle name="Normal 4 15" xfId="89"/>
    <cellStyle name="Normal 4 16" xfId="90"/>
    <cellStyle name="Normal 4 17" xfId="91"/>
    <cellStyle name="Normal 4 18" xfId="92"/>
    <cellStyle name="Normal 4 2" xfId="23"/>
    <cellStyle name="Normal 4 2 2" xfId="24"/>
    <cellStyle name="Normal 4 3" xfId="47"/>
    <cellStyle name="Normal 4 4" xfId="93"/>
    <cellStyle name="Normal 4 5" xfId="94"/>
    <cellStyle name="Normal 4 6" xfId="95"/>
    <cellStyle name="Normal 4 7" xfId="96"/>
    <cellStyle name="Normal 4 8" xfId="97"/>
    <cellStyle name="Normal 4 9" xfId="98"/>
    <cellStyle name="Normal 40" xfId="99"/>
    <cellStyle name="Normal 41" xfId="100"/>
    <cellStyle name="Normal 42" xfId="101"/>
    <cellStyle name="Normal 43" xfId="102"/>
    <cellStyle name="Normal 44" xfId="103"/>
    <cellStyle name="Normal 45" xfId="104"/>
    <cellStyle name="Normal 46" xfId="105"/>
    <cellStyle name="Normal 47" xfId="106"/>
    <cellStyle name="Normal 48" xfId="107"/>
    <cellStyle name="Normal 49" xfId="108"/>
    <cellStyle name="Normal 5" xfId="25"/>
    <cellStyle name="Normal 5 10" xfId="109"/>
    <cellStyle name="Normal 5 11" xfId="110"/>
    <cellStyle name="Normal 5 12" xfId="111"/>
    <cellStyle name="Normal 5 13" xfId="112"/>
    <cellStyle name="Normal 5 14" xfId="113"/>
    <cellStyle name="Normal 5 15" xfId="114"/>
    <cellStyle name="Normal 5 16" xfId="115"/>
    <cellStyle name="Normal 5 17" xfId="116"/>
    <cellStyle name="Normal 5 18" xfId="117"/>
    <cellStyle name="Normal 5 2" xfId="118"/>
    <cellStyle name="Normal 5 3" xfId="119"/>
    <cellStyle name="Normal 5 4" xfId="120"/>
    <cellStyle name="Normal 5 5" xfId="121"/>
    <cellStyle name="Normal 5 6" xfId="122"/>
    <cellStyle name="Normal 5 7" xfId="123"/>
    <cellStyle name="Normal 5 8" xfId="124"/>
    <cellStyle name="Normal 5 9" xfId="125"/>
    <cellStyle name="Normal 50" xfId="126"/>
    <cellStyle name="Normal 51" xfId="127"/>
    <cellStyle name="Normal 52" xfId="128"/>
    <cellStyle name="Normal 53" xfId="129"/>
    <cellStyle name="Normal 54" xfId="130"/>
    <cellStyle name="Normal 55" xfId="131"/>
    <cellStyle name="Normal 56" xfId="132"/>
    <cellStyle name="Normal 57" xfId="133"/>
    <cellStyle name="Normal 58" xfId="134"/>
    <cellStyle name="Normal 59" xfId="135"/>
    <cellStyle name="Normal 6" xfId="26"/>
    <cellStyle name="Normal 60" xfId="136"/>
    <cellStyle name="Normal 61" xfId="137"/>
    <cellStyle name="Normal 62" xfId="138"/>
    <cellStyle name="Normal 63" xfId="139"/>
    <cellStyle name="Normal 64" xfId="140"/>
    <cellStyle name="Normal 65" xfId="141"/>
    <cellStyle name="Normal 66" xfId="142"/>
    <cellStyle name="Normal 67" xfId="143"/>
    <cellStyle name="Normal 68" xfId="144"/>
    <cellStyle name="Normal 69" xfId="145"/>
    <cellStyle name="Normal 7" xfId="27"/>
    <cellStyle name="Normal 70" xfId="146"/>
    <cellStyle name="Normal 71" xfId="147"/>
    <cellStyle name="Normal 72" xfId="148"/>
    <cellStyle name="Normal 73" xfId="149"/>
    <cellStyle name="Normal 74" xfId="150"/>
    <cellStyle name="Normal 75" xfId="151"/>
    <cellStyle name="Normal 76" xfId="152"/>
    <cellStyle name="Normal 77" xfId="153"/>
    <cellStyle name="Normal 78" xfId="154"/>
    <cellStyle name="Normal 79" xfId="155"/>
    <cellStyle name="Normal 8" xfId="12"/>
    <cellStyle name="Normal 80" xfId="156"/>
    <cellStyle name="Normal 81" xfId="157"/>
    <cellStyle name="Normal 82" xfId="158"/>
    <cellStyle name="Normal 9" xfId="43"/>
    <cellStyle name="Normal_cronograma 6 meses 2" xfId="2"/>
    <cellStyle name="Percentual" xfId="159"/>
    <cellStyle name="Ponto" xfId="160"/>
    <cellStyle name="Porcentagem" xfId="1" builtinId="5"/>
    <cellStyle name="Porcentagem 2" xfId="7"/>
    <cellStyle name="Porcentagem 2 2" xfId="28"/>
    <cellStyle name="Porcentagem 2 2 2" xfId="29"/>
    <cellStyle name="Porcentagem 3" xfId="30"/>
    <cellStyle name="Porcentagem 3 2" xfId="161"/>
    <cellStyle name="Porcentagem 4" xfId="31"/>
    <cellStyle name="Porcentagem 5" xfId="32"/>
    <cellStyle name="Porcentagem 6" xfId="13"/>
    <cellStyle name="Porcentagem 7" xfId="44"/>
    <cellStyle name="Porcentagem 8" xfId="46"/>
    <cellStyle name="Porcentagem 9" xfId="241"/>
    <cellStyle name="Separador de milhares 10" xfId="162"/>
    <cellStyle name="Separador de milhares 10 2" xfId="163"/>
    <cellStyle name="Separador de milhares 11" xfId="164"/>
    <cellStyle name="Separador de milhares 11 2" xfId="165"/>
    <cellStyle name="Separador de milhares 12" xfId="166"/>
    <cellStyle name="Separador de milhares 13" xfId="167"/>
    <cellStyle name="Separador de milhares 14" xfId="168"/>
    <cellStyle name="Separador de milhares 15" xfId="169"/>
    <cellStyle name="Separador de milhares 16" xfId="170"/>
    <cellStyle name="Separador de milhares 17" xfId="171"/>
    <cellStyle name="Separador de milhares 18" xfId="172"/>
    <cellStyle name="Separador de milhares 19" xfId="173"/>
    <cellStyle name="Separador de milhares 2" xfId="8"/>
    <cellStyle name="Separador de milhares 2 2" xfId="33"/>
    <cellStyle name="Separador de milhares 2 2 2" xfId="34"/>
    <cellStyle name="Separador de milhares 20" xfId="174"/>
    <cellStyle name="Separador de milhares 21" xfId="175"/>
    <cellStyle name="Separador de milhares 22" xfId="176"/>
    <cellStyle name="Separador de milhares 23" xfId="177"/>
    <cellStyle name="Separador de milhares 24" xfId="178"/>
    <cellStyle name="Separador de milhares 25" xfId="179"/>
    <cellStyle name="Separador de milhares 26" xfId="180"/>
    <cellStyle name="Separador de milhares 27" xfId="181"/>
    <cellStyle name="Separador de milhares 28" xfId="182"/>
    <cellStyle name="Separador de milhares 29" xfId="183"/>
    <cellStyle name="Separador de milhares 3" xfId="4"/>
    <cellStyle name="Separador de milhares 3 2" xfId="35"/>
    <cellStyle name="Separador de milhares 30" xfId="184"/>
    <cellStyle name="Separador de milhares 31" xfId="185"/>
    <cellStyle name="Separador de milhares 32" xfId="186"/>
    <cellStyle name="Separador de milhares 33" xfId="187"/>
    <cellStyle name="Separador de milhares 34" xfId="188"/>
    <cellStyle name="Separador de milhares 35" xfId="189"/>
    <cellStyle name="Separador de milhares 36" xfId="190"/>
    <cellStyle name="Separador de milhares 37" xfId="191"/>
    <cellStyle name="Separador de milhares 38" xfId="192"/>
    <cellStyle name="Separador de milhares 39" xfId="193"/>
    <cellStyle name="Separador de milhares 4" xfId="36"/>
    <cellStyle name="Separador de milhares 4 2" xfId="37"/>
    <cellStyle name="Separador de milhares 4 2 2" xfId="194"/>
    <cellStyle name="Separador de milhares 4 3" xfId="195"/>
    <cellStyle name="Separador de milhares 40" xfId="196"/>
    <cellStyle name="Separador de milhares 41" xfId="197"/>
    <cellStyle name="Separador de milhares 42" xfId="198"/>
    <cellStyle name="Separador de milhares 43" xfId="199"/>
    <cellStyle name="Separador de milhares 44" xfId="200"/>
    <cellStyle name="Separador de milhares 45" xfId="201"/>
    <cellStyle name="Separador de milhares 46" xfId="202"/>
    <cellStyle name="Separador de milhares 47" xfId="203"/>
    <cellStyle name="Separador de milhares 48" xfId="204"/>
    <cellStyle name="Separador de milhares 49" xfId="205"/>
    <cellStyle name="Separador de milhares 5" xfId="206"/>
    <cellStyle name="Separador de milhares 5 2" xfId="207"/>
    <cellStyle name="Separador de milhares 50" xfId="208"/>
    <cellStyle name="Separador de milhares 51" xfId="209"/>
    <cellStyle name="Separador de milhares 52" xfId="210"/>
    <cellStyle name="Separador de milhares 53" xfId="211"/>
    <cellStyle name="Separador de milhares 54" xfId="212"/>
    <cellStyle name="Separador de milhares 55" xfId="213"/>
    <cellStyle name="Separador de milhares 56" xfId="214"/>
    <cellStyle name="Separador de milhares 57" xfId="215"/>
    <cellStyle name="Separador de milhares 58" xfId="216"/>
    <cellStyle name="Separador de milhares 59" xfId="217"/>
    <cellStyle name="Separador de milhares 6" xfId="218"/>
    <cellStyle name="Separador de milhares 60" xfId="219"/>
    <cellStyle name="Separador de milhares 61" xfId="220"/>
    <cellStyle name="Separador de milhares 62" xfId="221"/>
    <cellStyle name="Separador de milhares 63" xfId="222"/>
    <cellStyle name="Separador de milhares 64" xfId="223"/>
    <cellStyle name="Separador de milhares 65" xfId="224"/>
    <cellStyle name="Separador de milhares 66" xfId="225"/>
    <cellStyle name="Separador de milhares 67" xfId="226"/>
    <cellStyle name="Separador de milhares 68" xfId="227"/>
    <cellStyle name="Separador de milhares 69" xfId="228"/>
    <cellStyle name="Separador de milhares 7" xfId="229"/>
    <cellStyle name="Separador de milhares 70" xfId="230"/>
    <cellStyle name="Separador de milhares 71" xfId="231"/>
    <cellStyle name="Separador de milhares 72" xfId="232"/>
    <cellStyle name="Separador de milhares 73" xfId="233"/>
    <cellStyle name="Separador de milhares 8" xfId="234"/>
    <cellStyle name="Separador de milhares 9" xfId="235"/>
    <cellStyle name="Separador de milhares 9 2" xfId="236"/>
    <cellStyle name="TableStyleLight1" xfId="237"/>
    <cellStyle name="Título 1 1" xfId="238"/>
    <cellStyle name="Titulo1" xfId="239"/>
    <cellStyle name="Titulo2" xfId="240"/>
    <cellStyle name="Vírgula" xfId="244" builtinId="3"/>
    <cellStyle name="Vírgula 2" xfId="9"/>
    <cellStyle name="Vírgula 2 2" xfId="38"/>
    <cellStyle name="Vírgula 2 3" xfId="48"/>
    <cellStyle name="Vírgula 3" xfId="39"/>
    <cellStyle name="Vírgula 3 2" xfId="40"/>
  </cellStyles>
  <dxfs count="1">
    <dxf>
      <font>
        <color rgb="FFFF000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12</xdr:row>
      <xdr:rowOff>28575</xdr:rowOff>
    </xdr:from>
    <xdr:to>
      <xdr:col>11</xdr:col>
      <xdr:colOff>47625</xdr:colOff>
      <xdr:row>13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7325" y="3105150"/>
          <a:ext cx="4486275" cy="37147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P57.00-DOCPL-CPSA-IMPL.EMISS-REC.ETE-R.FOGO(D.IN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ERNANDO\Downloads\Sec.%20Direitos%20Humanos\Ger&#234;ncia%20de%20Projetos\UFRPE\44.003%20-%20Pr&#233;dio%20de%206%20pavimentos\CD%20-%20VERS&#195;O%20FINAL25-09-07\PR&#201;DIO%20DE%206%20PAVIMENTOS\OR&#199;AMENTOS\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1"/>
      <sheetName val="DI2"/>
      <sheetName val="DI3"/>
      <sheetName val="DI4"/>
      <sheetName val="RELCOMP"/>
      <sheetName val="DESP.DIRETAS1"/>
      <sheetName val="DESP.DIRETAS 2"/>
      <sheetName val="DESP.DIRETAS 3"/>
      <sheetName val="FECHAMENTO "/>
      <sheetName val="FECHAMENTO  (2)"/>
      <sheetName val="auxilio 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view="pageBreakPreview" zoomScaleSheetLayoutView="100" workbookViewId="0">
      <selection activeCell="K6" sqref="K6"/>
    </sheetView>
  </sheetViews>
  <sheetFormatPr defaultRowHeight="14.4" x14ac:dyDescent="0.3"/>
  <cols>
    <col min="1" max="1" width="5.6640625" customWidth="1"/>
    <col min="2" max="2" width="7.5546875" bestFit="1" customWidth="1"/>
    <col min="4" max="4" width="53.33203125" customWidth="1"/>
    <col min="5" max="5" width="7" customWidth="1"/>
    <col min="6" max="6" width="11" bestFit="1" customWidth="1"/>
    <col min="7" max="8" width="9.5546875" customWidth="1"/>
    <col min="9" max="9" width="12.6640625" customWidth="1"/>
    <col min="10" max="10" width="12.6640625" style="465" customWidth="1"/>
    <col min="11" max="11" width="12.6640625" style="486" customWidth="1"/>
    <col min="12" max="12" width="10.109375" bestFit="1" customWidth="1"/>
    <col min="13" max="13" width="10.5546875" bestFit="1" customWidth="1"/>
  </cols>
  <sheetData>
    <row r="1" spans="1:12" ht="24" customHeight="1" x14ac:dyDescent="0.3">
      <c r="A1" s="515" t="s">
        <v>14</v>
      </c>
      <c r="B1" s="516"/>
      <c r="C1" s="516"/>
      <c r="D1" s="516"/>
      <c r="E1" s="516"/>
      <c r="F1" s="516"/>
      <c r="G1" s="516"/>
      <c r="H1" s="516"/>
      <c r="I1" s="517"/>
      <c r="J1" s="452"/>
      <c r="K1" s="475"/>
    </row>
    <row r="2" spans="1:12" ht="24" customHeight="1" x14ac:dyDescent="0.3">
      <c r="A2" s="518"/>
      <c r="B2" s="519"/>
      <c r="C2" s="519"/>
      <c r="D2" s="519"/>
      <c r="E2" s="519"/>
      <c r="F2" s="519"/>
      <c r="G2" s="519"/>
      <c r="H2" s="519"/>
      <c r="I2" s="520"/>
      <c r="J2" s="452"/>
      <c r="K2" s="475"/>
    </row>
    <row r="3" spans="1:12" ht="15" customHeight="1" x14ac:dyDescent="0.3">
      <c r="A3" s="497" t="s">
        <v>55</v>
      </c>
      <c r="B3" s="491"/>
      <c r="C3" s="491"/>
      <c r="D3" s="498"/>
      <c r="E3" s="502" t="s">
        <v>56</v>
      </c>
      <c r="F3" s="491"/>
      <c r="G3" s="491"/>
      <c r="H3" s="491"/>
      <c r="I3" s="492"/>
      <c r="J3" s="453"/>
      <c r="K3" s="449"/>
    </row>
    <row r="4" spans="1:12" ht="15" customHeight="1" x14ac:dyDescent="0.3">
      <c r="A4" s="499" t="s">
        <v>154</v>
      </c>
      <c r="B4" s="500"/>
      <c r="C4" s="500"/>
      <c r="D4" s="501"/>
      <c r="E4" s="503"/>
      <c r="F4" s="500"/>
      <c r="G4" s="500"/>
      <c r="H4" s="500"/>
      <c r="I4" s="507"/>
      <c r="J4" s="454"/>
      <c r="K4" s="450"/>
    </row>
    <row r="5" spans="1:12" ht="15" customHeight="1" x14ac:dyDescent="0.3">
      <c r="A5" s="512" t="s">
        <v>57</v>
      </c>
      <c r="B5" s="513"/>
      <c r="C5" s="513"/>
      <c r="D5" s="513"/>
      <c r="E5" s="513"/>
      <c r="F5" s="513"/>
      <c r="G5" s="513"/>
      <c r="H5" s="513"/>
      <c r="I5" s="514"/>
      <c r="J5" s="453"/>
      <c r="K5" s="449"/>
    </row>
    <row r="6" spans="1:12" ht="15" customHeight="1" x14ac:dyDescent="0.3">
      <c r="A6" s="499" t="s">
        <v>94</v>
      </c>
      <c r="B6" s="500"/>
      <c r="C6" s="500"/>
      <c r="D6" s="500"/>
      <c r="E6" s="500"/>
      <c r="F6" s="500"/>
      <c r="G6" s="500"/>
      <c r="H6" s="500"/>
      <c r="I6" s="507"/>
      <c r="J6" s="454"/>
      <c r="K6" s="450"/>
    </row>
    <row r="7" spans="1:12" ht="15" customHeight="1" x14ac:dyDescent="0.3">
      <c r="A7" s="497" t="s">
        <v>58</v>
      </c>
      <c r="B7" s="491"/>
      <c r="C7" s="491"/>
      <c r="D7" s="491"/>
      <c r="E7" s="491"/>
      <c r="F7" s="491"/>
      <c r="G7" s="491"/>
      <c r="H7" s="491"/>
      <c r="I7" s="492"/>
      <c r="J7" s="453"/>
      <c r="K7" s="449"/>
    </row>
    <row r="8" spans="1:12" ht="15" customHeight="1" x14ac:dyDescent="0.3">
      <c r="A8" s="499" t="s">
        <v>77</v>
      </c>
      <c r="B8" s="500"/>
      <c r="C8" s="500"/>
      <c r="D8" s="500"/>
      <c r="E8" s="500"/>
      <c r="F8" s="500"/>
      <c r="G8" s="500"/>
      <c r="H8" s="500"/>
      <c r="I8" s="507"/>
      <c r="J8" s="454"/>
      <c r="K8" s="450"/>
    </row>
    <row r="9" spans="1:12" ht="15" customHeight="1" x14ac:dyDescent="0.3">
      <c r="A9" s="497" t="s">
        <v>59</v>
      </c>
      <c r="B9" s="491"/>
      <c r="C9" s="491"/>
      <c r="D9" s="498"/>
      <c r="E9" s="491" t="s">
        <v>60</v>
      </c>
      <c r="F9" s="491"/>
      <c r="G9" s="498"/>
      <c r="H9" s="502" t="s">
        <v>61</v>
      </c>
      <c r="I9" s="492"/>
      <c r="J9" s="453"/>
      <c r="K9" s="449"/>
    </row>
    <row r="10" spans="1:12" ht="15" customHeight="1" x14ac:dyDescent="0.3">
      <c r="A10" s="499" t="s">
        <v>147</v>
      </c>
      <c r="B10" s="500"/>
      <c r="C10" s="500"/>
      <c r="D10" s="501"/>
      <c r="E10" s="510">
        <v>243750</v>
      </c>
      <c r="F10" s="510"/>
      <c r="G10" s="511"/>
      <c r="H10" s="508" t="s">
        <v>146</v>
      </c>
      <c r="I10" s="509"/>
      <c r="J10" s="455"/>
      <c r="K10" s="476"/>
    </row>
    <row r="11" spans="1:12" ht="15" customHeight="1" x14ac:dyDescent="0.3">
      <c r="A11" s="497" t="s">
        <v>62</v>
      </c>
      <c r="B11" s="491"/>
      <c r="C11" s="491"/>
      <c r="D11" s="498"/>
      <c r="E11" s="502" t="s">
        <v>63</v>
      </c>
      <c r="F11" s="491"/>
      <c r="G11" s="498"/>
      <c r="H11" s="491" t="s">
        <v>64</v>
      </c>
      <c r="I11" s="492"/>
      <c r="J11" s="453"/>
      <c r="K11" s="449"/>
    </row>
    <row r="12" spans="1:12" ht="15" customHeight="1" x14ac:dyDescent="0.3">
      <c r="A12" s="499" t="s">
        <v>153</v>
      </c>
      <c r="B12" s="500"/>
      <c r="C12" s="500"/>
      <c r="D12" s="501"/>
      <c r="E12" s="504">
        <f>'BDI SERVIÇO'!D24</f>
        <v>0.25215503759149449</v>
      </c>
      <c r="F12" s="505"/>
      <c r="G12" s="506"/>
      <c r="H12" s="493">
        <v>42826</v>
      </c>
      <c r="I12" s="494"/>
      <c r="J12" s="455"/>
      <c r="K12" s="451"/>
    </row>
    <row r="13" spans="1:12" ht="15" customHeight="1" x14ac:dyDescent="0.3">
      <c r="A13" s="497" t="s">
        <v>65</v>
      </c>
      <c r="B13" s="491"/>
      <c r="C13" s="491"/>
      <c r="D13" s="498"/>
      <c r="E13" s="502" t="s">
        <v>66</v>
      </c>
      <c r="F13" s="491"/>
      <c r="G13" s="498"/>
      <c r="H13" s="491" t="s">
        <v>67</v>
      </c>
      <c r="I13" s="492"/>
      <c r="J13" s="453"/>
      <c r="K13" s="449"/>
    </row>
    <row r="14" spans="1:12" ht="15" customHeight="1" x14ac:dyDescent="0.3">
      <c r="A14" s="499" t="s">
        <v>69</v>
      </c>
      <c r="B14" s="500"/>
      <c r="C14" s="500"/>
      <c r="D14" s="501"/>
      <c r="E14" s="503" t="s">
        <v>70</v>
      </c>
      <c r="F14" s="500"/>
      <c r="G14" s="501"/>
      <c r="H14" s="495"/>
      <c r="I14" s="496"/>
      <c r="J14" s="454"/>
      <c r="K14" s="451"/>
      <c r="L14" s="433">
        <f>1+E12</f>
        <v>1.2521550375914945</v>
      </c>
    </row>
    <row r="15" spans="1:12" ht="15" customHeight="1" x14ac:dyDescent="0.3">
      <c r="A15" s="488"/>
      <c r="B15" s="489"/>
      <c r="C15" s="489"/>
      <c r="D15" s="489"/>
      <c r="E15" s="489"/>
      <c r="F15" s="489"/>
      <c r="G15" s="489"/>
      <c r="H15" s="489"/>
      <c r="I15" s="490"/>
      <c r="J15" s="456"/>
      <c r="K15" s="449"/>
    </row>
    <row r="16" spans="1:12" x14ac:dyDescent="0.3">
      <c r="A16" s="525" t="s">
        <v>0</v>
      </c>
      <c r="B16" s="526" t="s">
        <v>31</v>
      </c>
      <c r="C16" s="526" t="s">
        <v>13</v>
      </c>
      <c r="D16" s="526" t="s">
        <v>1</v>
      </c>
      <c r="E16" s="530" t="s">
        <v>108</v>
      </c>
      <c r="F16" s="531"/>
      <c r="G16" s="530" t="s">
        <v>27</v>
      </c>
      <c r="H16" s="531"/>
      <c r="I16" s="532"/>
      <c r="J16" s="457"/>
      <c r="K16" s="477"/>
      <c r="L16" s="46"/>
    </row>
    <row r="17" spans="1:14" x14ac:dyDescent="0.3">
      <c r="A17" s="525"/>
      <c r="B17" s="526"/>
      <c r="C17" s="526"/>
      <c r="D17" s="526"/>
      <c r="E17" s="533"/>
      <c r="F17" s="534"/>
      <c r="G17" s="533"/>
      <c r="H17" s="534"/>
      <c r="I17" s="535"/>
      <c r="J17" s="457"/>
      <c r="K17" s="477"/>
      <c r="L17" s="46"/>
    </row>
    <row r="18" spans="1:14" x14ac:dyDescent="0.3">
      <c r="A18" s="276"/>
      <c r="B18" s="273"/>
      <c r="C18" s="273"/>
      <c r="D18" s="274"/>
      <c r="E18" s="273" t="s">
        <v>25</v>
      </c>
      <c r="F18" s="275" t="s">
        <v>15</v>
      </c>
      <c r="G18" s="273" t="s">
        <v>30</v>
      </c>
      <c r="H18" s="273" t="s">
        <v>109</v>
      </c>
      <c r="I18" s="277" t="s">
        <v>4</v>
      </c>
      <c r="J18" s="458"/>
      <c r="K18" s="478"/>
      <c r="L18" s="46"/>
    </row>
    <row r="19" spans="1:14" ht="3" customHeight="1" x14ac:dyDescent="0.3">
      <c r="A19" s="278"/>
      <c r="B19" s="271"/>
      <c r="C19" s="271"/>
      <c r="D19" s="271"/>
      <c r="E19" s="271"/>
      <c r="F19" s="272"/>
      <c r="G19" s="271"/>
      <c r="H19" s="271"/>
      <c r="I19" s="279"/>
      <c r="J19" s="459"/>
      <c r="K19" s="479"/>
      <c r="L19" s="46"/>
    </row>
    <row r="20" spans="1:14" x14ac:dyDescent="0.3">
      <c r="A20" s="280" t="s">
        <v>5</v>
      </c>
      <c r="B20" s="259"/>
      <c r="C20" s="260"/>
      <c r="D20" s="261" t="s">
        <v>6</v>
      </c>
      <c r="E20" s="259"/>
      <c r="F20" s="262"/>
      <c r="G20" s="262"/>
      <c r="H20" s="262"/>
      <c r="I20" s="281">
        <f>SUM(I21:I23)</f>
        <v>9962.9844229531154</v>
      </c>
      <c r="J20" s="460"/>
      <c r="K20" s="480"/>
      <c r="L20" s="442">
        <f>I20/I45</f>
        <v>5.0374156107725637E-2</v>
      </c>
      <c r="M20" s="436">
        <f>I45*4/100</f>
        <v>7911.1871584684595</v>
      </c>
      <c r="N20" s="437">
        <v>0.04</v>
      </c>
    </row>
    <row r="21" spans="1:14" s="62" customFormat="1" x14ac:dyDescent="0.3">
      <c r="A21" s="282" t="s">
        <v>7</v>
      </c>
      <c r="B21" s="292" t="s">
        <v>24</v>
      </c>
      <c r="C21" s="256" t="s">
        <v>33</v>
      </c>
      <c r="D21" s="253" t="s">
        <v>34</v>
      </c>
      <c r="E21" s="292" t="s">
        <v>8</v>
      </c>
      <c r="F21" s="252">
        <f>'MEMÓRIA E ORÇAMENTO'!J22</f>
        <v>2.5</v>
      </c>
      <c r="G21" s="252">
        <v>290.79000000000002</v>
      </c>
      <c r="H21" s="252">
        <f>G21*$L$14</f>
        <v>364.1141633812307</v>
      </c>
      <c r="I21" s="283">
        <f>F21*H21</f>
        <v>910.2854084530768</v>
      </c>
      <c r="J21" s="461">
        <f>I21/$I$45</f>
        <v>4.6025224291586621E-3</v>
      </c>
      <c r="K21" s="481"/>
      <c r="L21" s="45"/>
      <c r="M21" s="441">
        <f>I20-M20</f>
        <v>2051.7972644846559</v>
      </c>
    </row>
    <row r="22" spans="1:14" s="62" customFormat="1" x14ac:dyDescent="0.3">
      <c r="A22" s="282" t="s">
        <v>155</v>
      </c>
      <c r="B22" s="390" t="s">
        <v>24</v>
      </c>
      <c r="C22" s="256">
        <f>'MEMÓRIA E ORÇAMENTO'!C23</f>
        <v>85423</v>
      </c>
      <c r="D22" s="253" t="s">
        <v>193</v>
      </c>
      <c r="E22" s="390" t="s">
        <v>8</v>
      </c>
      <c r="F22" s="252">
        <f>'MEMÓRIA E ORÇAMENTO'!J25</f>
        <v>242.5</v>
      </c>
      <c r="G22" s="252">
        <v>6.31</v>
      </c>
      <c r="H22" s="252">
        <f>G22*$L$14</f>
        <v>7.9010982872023297</v>
      </c>
      <c r="I22" s="283">
        <f>F22*H22</f>
        <v>1916.0163346465649</v>
      </c>
      <c r="J22" s="461">
        <f t="shared" ref="J22:J23" si="0">I22/$I$45</f>
        <v>9.6876299157988306E-3</v>
      </c>
      <c r="K22" s="481"/>
      <c r="L22" s="45"/>
    </row>
    <row r="23" spans="1:14" s="62" customFormat="1" ht="21.6" x14ac:dyDescent="0.3">
      <c r="A23" s="282" t="s">
        <v>163</v>
      </c>
      <c r="B23" s="432" t="s">
        <v>24</v>
      </c>
      <c r="C23" s="256">
        <v>93584</v>
      </c>
      <c r="D23" s="253" t="s">
        <v>164</v>
      </c>
      <c r="E23" s="432" t="s">
        <v>8</v>
      </c>
      <c r="F23" s="252">
        <f>'MEMÓRIA E ORÇAMENTO'!J28</f>
        <v>12</v>
      </c>
      <c r="G23" s="252">
        <v>474.96</v>
      </c>
      <c r="H23" s="252">
        <f>G23*$L$14</f>
        <v>594.72355665445616</v>
      </c>
      <c r="I23" s="283">
        <f>F23*H23</f>
        <v>7136.6826798534739</v>
      </c>
      <c r="J23" s="461">
        <f t="shared" si="0"/>
        <v>3.6084003762768151E-2</v>
      </c>
      <c r="K23" s="481"/>
      <c r="L23" s="45"/>
      <c r="M23" s="62">
        <f>I20/0.04</f>
        <v>249074.61057382787</v>
      </c>
    </row>
    <row r="24" spans="1:14" ht="9.9" customHeight="1" x14ac:dyDescent="0.3">
      <c r="A24" s="284"/>
      <c r="B24" s="248"/>
      <c r="C24" s="249"/>
      <c r="D24" s="258"/>
      <c r="E24" s="248"/>
      <c r="F24" s="251"/>
      <c r="G24" s="251"/>
      <c r="H24" s="251"/>
      <c r="I24" s="285"/>
      <c r="J24" s="461"/>
      <c r="K24" s="481"/>
      <c r="L24" s="45"/>
    </row>
    <row r="25" spans="1:14" x14ac:dyDescent="0.3">
      <c r="A25" s="280" t="s">
        <v>9</v>
      </c>
      <c r="B25" s="259"/>
      <c r="C25" s="260"/>
      <c r="D25" s="261" t="s">
        <v>78</v>
      </c>
      <c r="E25" s="259"/>
      <c r="F25" s="262"/>
      <c r="G25" s="262"/>
      <c r="H25" s="262"/>
      <c r="I25" s="281">
        <f>SUM(I26:I31)</f>
        <v>114212.18645821702</v>
      </c>
      <c r="J25" s="460"/>
      <c r="K25" s="480"/>
      <c r="L25" s="49"/>
    </row>
    <row r="26" spans="1:14" ht="32.4" x14ac:dyDescent="0.3">
      <c r="A26" s="282" t="s">
        <v>10</v>
      </c>
      <c r="B26" s="432" t="s">
        <v>24</v>
      </c>
      <c r="C26" s="254">
        <v>92970</v>
      </c>
      <c r="D26" s="255" t="str">
        <f>'MEMÓRIA E ORÇAMENTO'!D31</f>
        <v>DEMOLIÇÃO DE PAVIMENTAÇÃO ASFÁLTICA COM UTILIZAÇÃO DE MARTELO PERFURADOR, ESPESSURA ATÉ 15 CM, EXCLUSIVE CARGA E TRANSPORTE</v>
      </c>
      <c r="E26" s="432" t="s">
        <v>8</v>
      </c>
      <c r="F26" s="252">
        <f>'MEMÓRIA E ORÇAMENTO'!J33</f>
        <v>198.59224000000003</v>
      </c>
      <c r="G26" s="252">
        <v>10.9</v>
      </c>
      <c r="H26" s="252">
        <f>G26*$L$14</f>
        <v>13.64848990974729</v>
      </c>
      <c r="I26" s="283">
        <f>F26*H26</f>
        <v>2710.4841837941126</v>
      </c>
      <c r="J26" s="461">
        <f t="shared" ref="J26:J31" si="1">I26/$I$45</f>
        <v>1.3704563573079922E-2</v>
      </c>
      <c r="K26" s="481"/>
      <c r="L26" s="47"/>
    </row>
    <row r="27" spans="1:14" ht="21.6" x14ac:dyDescent="0.3">
      <c r="A27" s="282" t="s">
        <v>37</v>
      </c>
      <c r="B27" s="435" t="s">
        <v>24</v>
      </c>
      <c r="C27" s="254">
        <v>72898</v>
      </c>
      <c r="D27" s="255" t="s">
        <v>186</v>
      </c>
      <c r="E27" s="435" t="s">
        <v>188</v>
      </c>
      <c r="F27" s="252">
        <f>'MEMÓRIA E ORÇAMENTO'!J37</f>
        <v>19.859224000000005</v>
      </c>
      <c r="G27" s="252">
        <v>3.74</v>
      </c>
      <c r="H27" s="252">
        <f>G27*$L$14</f>
        <v>4.6830598405921897</v>
      </c>
      <c r="I27" s="283">
        <f>F27*H27</f>
        <v>93.001934379724617</v>
      </c>
      <c r="J27" s="461">
        <f t="shared" si="1"/>
        <v>4.7022997947999002E-4</v>
      </c>
      <c r="K27" s="481"/>
      <c r="L27" s="47"/>
    </row>
    <row r="28" spans="1:14" ht="21.6" x14ac:dyDescent="0.3">
      <c r="A28" s="282" t="s">
        <v>181</v>
      </c>
      <c r="B28" s="435" t="s">
        <v>24</v>
      </c>
      <c r="C28" s="254">
        <v>72900</v>
      </c>
      <c r="D28" s="255" t="s">
        <v>187</v>
      </c>
      <c r="E28" s="435" t="s">
        <v>188</v>
      </c>
      <c r="F28" s="252">
        <f>'MEMÓRIA E ORÇAMENTO'!J40</f>
        <v>19.859224000000005</v>
      </c>
      <c r="G28" s="252">
        <v>5.23</v>
      </c>
      <c r="H28" s="252">
        <f>G28*$L$14</f>
        <v>6.5487708466035164</v>
      </c>
      <c r="I28" s="283">
        <f>F28*H28</f>
        <v>130.05350716736891</v>
      </c>
      <c r="J28" s="461">
        <f t="shared" si="1"/>
        <v>6.5756759162576147E-4</v>
      </c>
      <c r="K28" s="481"/>
      <c r="L28" s="47"/>
    </row>
    <row r="29" spans="1:14" s="474" customFormat="1" ht="21.6" x14ac:dyDescent="0.3">
      <c r="A29" s="466" t="s">
        <v>184</v>
      </c>
      <c r="B29" s="467" t="s">
        <v>24</v>
      </c>
      <c r="C29" s="468">
        <v>68333</v>
      </c>
      <c r="D29" s="469" t="s">
        <v>192</v>
      </c>
      <c r="E29" s="467" t="s">
        <v>8</v>
      </c>
      <c r="F29" s="470">
        <f>'MEMÓRIA E ORÇAMENTO'!J44</f>
        <v>1985.9223999999999</v>
      </c>
      <c r="G29" s="470">
        <v>39.18</v>
      </c>
      <c r="H29" s="470">
        <f t="shared" ref="H29:H31" si="2">G29*$L$14</f>
        <v>49.059434372834751</v>
      </c>
      <c r="I29" s="471">
        <f t="shared" ref="I29:I31" si="3">F29*H29</f>
        <v>97428.229652342474</v>
      </c>
      <c r="J29" s="472">
        <f t="shared" si="1"/>
        <v>0.4926099089846524</v>
      </c>
      <c r="K29" s="482" t="s">
        <v>204</v>
      </c>
      <c r="L29" s="473"/>
    </row>
    <row r="30" spans="1:14" ht="21.6" x14ac:dyDescent="0.3">
      <c r="A30" s="282" t="s">
        <v>185</v>
      </c>
      <c r="B30" s="438" t="s">
        <v>194</v>
      </c>
      <c r="C30" s="254">
        <v>3641</v>
      </c>
      <c r="D30" s="255" t="s">
        <v>196</v>
      </c>
      <c r="E30" s="438" t="s">
        <v>8</v>
      </c>
      <c r="F30" s="252">
        <f>'MEMÓRIA E ORÇAMENTO'!J48</f>
        <v>1985.9223999999999</v>
      </c>
      <c r="G30" s="252">
        <v>2.82</v>
      </c>
      <c r="H30" s="252">
        <f t="shared" si="2"/>
        <v>3.5310772060080144</v>
      </c>
      <c r="I30" s="283">
        <f t="shared" si="3"/>
        <v>7012.4453195407305</v>
      </c>
      <c r="J30" s="461">
        <f t="shared" si="1"/>
        <v>3.5455843372555383E-2</v>
      </c>
      <c r="K30" s="481"/>
      <c r="L30" s="47"/>
    </row>
    <row r="31" spans="1:14" ht="43.2" x14ac:dyDescent="0.3">
      <c r="A31" s="282" t="s">
        <v>190</v>
      </c>
      <c r="B31" s="527" t="s">
        <v>101</v>
      </c>
      <c r="C31" s="528"/>
      <c r="D31" s="253" t="s">
        <v>80</v>
      </c>
      <c r="E31" s="292" t="s">
        <v>8</v>
      </c>
      <c r="F31" s="252">
        <f>'MEMÓRIA E ORÇAMENTO'!J52</f>
        <v>62.625</v>
      </c>
      <c r="G31" s="252">
        <f>COMPOSIÇÃO!I35</f>
        <v>87.201000000000008</v>
      </c>
      <c r="H31" s="252">
        <f t="shared" si="2"/>
        <v>109.18917143301591</v>
      </c>
      <c r="I31" s="283">
        <f t="shared" si="3"/>
        <v>6837.9718609926213</v>
      </c>
      <c r="J31" s="461">
        <f t="shared" si="1"/>
        <v>3.45736826800917E-2</v>
      </c>
      <c r="K31" s="481"/>
      <c r="L31" s="47"/>
    </row>
    <row r="32" spans="1:14" ht="9.9" customHeight="1" x14ac:dyDescent="0.3">
      <c r="A32" s="284"/>
      <c r="B32" s="248"/>
      <c r="C32" s="249"/>
      <c r="D32" s="250"/>
      <c r="E32" s="248"/>
      <c r="F32" s="251"/>
      <c r="G32" s="251"/>
      <c r="H32" s="251"/>
      <c r="I32" s="285"/>
      <c r="J32" s="461"/>
      <c r="K32" s="481"/>
      <c r="L32" s="45"/>
    </row>
    <row r="33" spans="1:12" x14ac:dyDescent="0.3">
      <c r="A33" s="280" t="s">
        <v>11</v>
      </c>
      <c r="B33" s="259"/>
      <c r="C33" s="260"/>
      <c r="D33" s="263" t="s">
        <v>71</v>
      </c>
      <c r="E33" s="259"/>
      <c r="F33" s="262"/>
      <c r="G33" s="262"/>
      <c r="H33" s="262"/>
      <c r="I33" s="281">
        <f>SUM(I34:I39)</f>
        <v>52183.925272481589</v>
      </c>
      <c r="J33" s="460"/>
      <c r="K33" s="480"/>
      <c r="L33" s="48"/>
    </row>
    <row r="34" spans="1:12" ht="21.6" x14ac:dyDescent="0.3">
      <c r="A34" s="282" t="s">
        <v>12</v>
      </c>
      <c r="B34" s="432" t="s">
        <v>24</v>
      </c>
      <c r="C34" s="254">
        <v>85366</v>
      </c>
      <c r="D34" s="255" t="s">
        <v>157</v>
      </c>
      <c r="E34" s="432" t="s">
        <v>8</v>
      </c>
      <c r="F34" s="252">
        <f>'MEMÓRIA E ORÇAMENTO'!J58</f>
        <v>261.33339999999998</v>
      </c>
      <c r="G34" s="252">
        <v>18.510000000000002</v>
      </c>
      <c r="H34" s="252">
        <f>G34*$L$14</f>
        <v>23.177389745818566</v>
      </c>
      <c r="I34" s="283">
        <f>F34*H34</f>
        <v>6057.0260653999012</v>
      </c>
      <c r="J34" s="461">
        <f t="shared" ref="J34:J39" si="4">I34/$I$45</f>
        <v>3.062511829929955E-2</v>
      </c>
      <c r="K34" s="481"/>
      <c r="L34" s="45"/>
    </row>
    <row r="35" spans="1:12" x14ac:dyDescent="0.3">
      <c r="A35" s="282" t="s">
        <v>72</v>
      </c>
      <c r="B35" s="529" t="s">
        <v>160</v>
      </c>
      <c r="C35" s="529"/>
      <c r="D35" s="255" t="s">
        <v>162</v>
      </c>
      <c r="E35" s="292" t="s">
        <v>8</v>
      </c>
      <c r="F35" s="252">
        <f>'MEMÓRIA E ORÇAMENTO'!J65</f>
        <v>164.19800000000001</v>
      </c>
      <c r="G35" s="252">
        <f>COMPOSIÇÃO!I45</f>
        <v>10.3368</v>
      </c>
      <c r="H35" s="252">
        <f>G35*$L$14</f>
        <v>12.943276192575761</v>
      </c>
      <c r="I35" s="283">
        <f>F35*H35</f>
        <v>2125.2600642685547</v>
      </c>
      <c r="J35" s="461">
        <f t="shared" si="4"/>
        <v>1.0745593659700436E-2</v>
      </c>
      <c r="K35" s="481"/>
      <c r="L35" s="45"/>
    </row>
    <row r="36" spans="1:12" ht="21.6" x14ac:dyDescent="0.3">
      <c r="A36" s="282" t="s">
        <v>96</v>
      </c>
      <c r="B36" s="292" t="s">
        <v>24</v>
      </c>
      <c r="C36" s="254">
        <v>72961</v>
      </c>
      <c r="D36" s="255" t="s">
        <v>36</v>
      </c>
      <c r="E36" s="292" t="s">
        <v>8</v>
      </c>
      <c r="F36" s="252">
        <f>'MEMÓRIA E ORÇAMENTO'!J69</f>
        <v>58.375</v>
      </c>
      <c r="G36" s="252">
        <v>1.31</v>
      </c>
      <c r="H36" s="252">
        <f t="shared" ref="H36:H39" si="5">G36*$L$14</f>
        <v>1.6403230992448579</v>
      </c>
      <c r="I36" s="283">
        <f>F36*H36</f>
        <v>95.753860918418582</v>
      </c>
      <c r="J36" s="461">
        <f t="shared" si="4"/>
        <v>4.8414408103552301E-4</v>
      </c>
      <c r="K36" s="481"/>
      <c r="L36" s="45"/>
    </row>
    <row r="37" spans="1:12" ht="21.6" x14ac:dyDescent="0.3">
      <c r="A37" s="466" t="s">
        <v>97</v>
      </c>
      <c r="B37" s="467" t="s">
        <v>24</v>
      </c>
      <c r="C37" s="487">
        <v>92394</v>
      </c>
      <c r="D37" s="469" t="s">
        <v>100</v>
      </c>
      <c r="E37" s="467" t="s">
        <v>8</v>
      </c>
      <c r="F37" s="470">
        <f>'MEMÓRIA E ORÇAMENTO'!J72</f>
        <v>372.15640000000002</v>
      </c>
      <c r="G37" s="470">
        <v>50.02</v>
      </c>
      <c r="H37" s="470">
        <f t="shared" si="5"/>
        <v>62.632794980326558</v>
      </c>
      <c r="I37" s="471">
        <f t="shared" ref="I37:I39" si="6">F37*H37</f>
        <v>23309.195501816404</v>
      </c>
      <c r="J37" s="461">
        <f t="shared" si="4"/>
        <v>0.1178543499725716</v>
      </c>
      <c r="K37" s="482" t="s">
        <v>204</v>
      </c>
      <c r="L37" s="45"/>
    </row>
    <row r="38" spans="1:12" ht="43.2" x14ac:dyDescent="0.3">
      <c r="A38" s="282" t="s">
        <v>98</v>
      </c>
      <c r="B38" s="529" t="s">
        <v>101</v>
      </c>
      <c r="C38" s="529"/>
      <c r="D38" s="257" t="s">
        <v>80</v>
      </c>
      <c r="E38" s="292" t="s">
        <v>8</v>
      </c>
      <c r="F38" s="252">
        <f>'MEMÓRIA E ORÇAMENTO'!J76</f>
        <v>72.625</v>
      </c>
      <c r="G38" s="252">
        <f>G31</f>
        <v>87.201000000000008</v>
      </c>
      <c r="H38" s="252">
        <f t="shared" si="5"/>
        <v>109.18917143301591</v>
      </c>
      <c r="I38" s="283">
        <f t="shared" si="6"/>
        <v>7929.8635753227809</v>
      </c>
      <c r="J38" s="461">
        <f t="shared" si="4"/>
        <v>4.0094430413439679E-2</v>
      </c>
      <c r="K38" s="481"/>
      <c r="L38" s="45"/>
    </row>
    <row r="39" spans="1:12" x14ac:dyDescent="0.3">
      <c r="A39" s="282" t="s">
        <v>159</v>
      </c>
      <c r="B39" s="292" t="s">
        <v>24</v>
      </c>
      <c r="C39" s="256" t="s">
        <v>99</v>
      </c>
      <c r="D39" s="257" t="s">
        <v>110</v>
      </c>
      <c r="E39" s="292" t="s">
        <v>8</v>
      </c>
      <c r="F39" s="252">
        <f>'MEMÓRIA E ORÇAMENTO'!J79</f>
        <v>40.728000000000002</v>
      </c>
      <c r="G39" s="252">
        <v>248.38</v>
      </c>
      <c r="H39" s="252">
        <f t="shared" si="5"/>
        <v>311.01026823697538</v>
      </c>
      <c r="I39" s="283">
        <f t="shared" si="6"/>
        <v>12666.826204755534</v>
      </c>
      <c r="J39" s="461">
        <f t="shared" si="4"/>
        <v>6.4045134825037944E-2</v>
      </c>
      <c r="K39" s="481"/>
      <c r="L39" s="45"/>
    </row>
    <row r="40" spans="1:12" ht="9.9" customHeight="1" x14ac:dyDescent="0.3">
      <c r="A40" s="264"/>
      <c r="B40" s="265"/>
      <c r="C40" s="265"/>
      <c r="D40" s="265"/>
      <c r="E40" s="265"/>
      <c r="F40" s="265"/>
      <c r="G40" s="265"/>
      <c r="H40" s="265"/>
      <c r="I40" s="266"/>
      <c r="J40" s="462"/>
      <c r="K40" s="483"/>
    </row>
    <row r="41" spans="1:12" x14ac:dyDescent="0.3">
      <c r="A41" s="280" t="s">
        <v>166</v>
      </c>
      <c r="B41" s="259"/>
      <c r="C41" s="260"/>
      <c r="D41" s="261" t="s">
        <v>167</v>
      </c>
      <c r="E41" s="259"/>
      <c r="F41" s="262"/>
      <c r="G41" s="262"/>
      <c r="H41" s="262"/>
      <c r="I41" s="281">
        <f>SUM(I42:I43)</f>
        <v>21420.582808059746</v>
      </c>
      <c r="J41" s="460"/>
      <c r="K41" s="480"/>
      <c r="L41" s="49"/>
    </row>
    <row r="42" spans="1:12" ht="21.6" x14ac:dyDescent="0.3">
      <c r="A42" s="282" t="s">
        <v>168</v>
      </c>
      <c r="B42" s="432" t="s">
        <v>24</v>
      </c>
      <c r="C42" s="256">
        <v>88483</v>
      </c>
      <c r="D42" s="257" t="s">
        <v>179</v>
      </c>
      <c r="E42" s="432" t="s">
        <v>8</v>
      </c>
      <c r="F42" s="252">
        <f>'MEMÓRIA E ORÇAMENTO'!J98</f>
        <v>687.99779999999998</v>
      </c>
      <c r="G42" s="252">
        <v>2.5099999999999998</v>
      </c>
      <c r="H42" s="252">
        <f t="shared" ref="H42" si="7">G42*$L$14</f>
        <v>3.1429091443546509</v>
      </c>
      <c r="I42" s="283">
        <f t="shared" ref="I42" si="8">F42*H42</f>
        <v>2162.3145769158823</v>
      </c>
      <c r="J42" s="461">
        <f t="shared" ref="J42:J43" si="9">I42/$I$45</f>
        <v>1.0932946136162393E-2</v>
      </c>
      <c r="K42" s="481"/>
      <c r="L42" s="47"/>
    </row>
    <row r="43" spans="1:12" ht="21.6" x14ac:dyDescent="0.3">
      <c r="A43" s="466" t="s">
        <v>182</v>
      </c>
      <c r="B43" s="467" t="s">
        <v>24</v>
      </c>
      <c r="C43" s="487">
        <v>88487</v>
      </c>
      <c r="D43" s="469" t="s">
        <v>169</v>
      </c>
      <c r="E43" s="467" t="s">
        <v>8</v>
      </c>
      <c r="F43" s="470">
        <f>'MEMÓRIA E ORÇAMENTO'!J124</f>
        <v>2072.7896000000001</v>
      </c>
      <c r="G43" s="470">
        <v>7.42</v>
      </c>
      <c r="H43" s="470">
        <f t="shared" ref="H43" si="10">G43*$L$14</f>
        <v>9.290990378928889</v>
      </c>
      <c r="I43" s="471">
        <f t="shared" ref="I43" si="11">F43*H43</f>
        <v>19258.268231143862</v>
      </c>
      <c r="J43" s="461">
        <f t="shared" si="9"/>
        <v>9.7372330323541992E-2</v>
      </c>
      <c r="K43" s="482" t="s">
        <v>204</v>
      </c>
      <c r="L43" s="47"/>
    </row>
    <row r="44" spans="1:12" ht="9.9" customHeight="1" thickBot="1" x14ac:dyDescent="0.35">
      <c r="A44" s="284"/>
      <c r="B44" s="248"/>
      <c r="C44" s="249"/>
      <c r="D44" s="250"/>
      <c r="E44" s="248"/>
      <c r="F44" s="251"/>
      <c r="G44" s="251"/>
      <c r="H44" s="251"/>
      <c r="I44" s="285"/>
      <c r="J44" s="461"/>
      <c r="K44" s="481"/>
      <c r="L44" s="45"/>
    </row>
    <row r="45" spans="1:12" s="269" customFormat="1" ht="20.100000000000001" customHeight="1" thickBot="1" x14ac:dyDescent="0.35">
      <c r="A45" s="286"/>
      <c r="B45" s="267"/>
      <c r="C45" s="268"/>
      <c r="D45" s="267"/>
      <c r="E45" s="267"/>
      <c r="F45" s="524" t="s">
        <v>35</v>
      </c>
      <c r="G45" s="524"/>
      <c r="H45" s="291"/>
      <c r="I45" s="287">
        <f>SUM(I20:I43)/2</f>
        <v>197779.6789617115</v>
      </c>
      <c r="J45" s="463">
        <f>SUM(J18:J44)</f>
        <v>0.99999999999999978</v>
      </c>
      <c r="K45" s="484"/>
    </row>
    <row r="46" spans="1:12" ht="9.9" customHeight="1" thickBot="1" x14ac:dyDescent="0.35">
      <c r="A46" s="521"/>
      <c r="B46" s="522"/>
      <c r="C46" s="522"/>
      <c r="D46" s="522"/>
      <c r="E46" s="522"/>
      <c r="F46" s="522"/>
      <c r="G46" s="522"/>
      <c r="H46" s="522"/>
      <c r="I46" s="523"/>
      <c r="J46" s="464"/>
      <c r="K46" s="483"/>
    </row>
    <row r="48" spans="1:12" x14ac:dyDescent="0.3">
      <c r="D48" s="288"/>
      <c r="I48" s="64"/>
      <c r="K48" s="485"/>
    </row>
    <row r="49" spans="9:11" x14ac:dyDescent="0.3">
      <c r="I49" s="64"/>
      <c r="K49" s="485"/>
    </row>
  </sheetData>
  <mergeCells count="39">
    <mergeCell ref="A46:I46"/>
    <mergeCell ref="F45:G45"/>
    <mergeCell ref="A16:A17"/>
    <mergeCell ref="B16:B17"/>
    <mergeCell ref="C16:C17"/>
    <mergeCell ref="D16:D17"/>
    <mergeCell ref="B31:C31"/>
    <mergeCell ref="B38:C38"/>
    <mergeCell ref="G16:I17"/>
    <mergeCell ref="E16:F17"/>
    <mergeCell ref="B35:C35"/>
    <mergeCell ref="A5:I5"/>
    <mergeCell ref="A6:I6"/>
    <mergeCell ref="A7:I7"/>
    <mergeCell ref="A1:I2"/>
    <mergeCell ref="A3:D3"/>
    <mergeCell ref="A4:D4"/>
    <mergeCell ref="E3:I3"/>
    <mergeCell ref="E4:I4"/>
    <mergeCell ref="A8:I8"/>
    <mergeCell ref="H9:I9"/>
    <mergeCell ref="H10:I10"/>
    <mergeCell ref="E10:G10"/>
    <mergeCell ref="E9:G9"/>
    <mergeCell ref="A9:D9"/>
    <mergeCell ref="A10:D10"/>
    <mergeCell ref="A15:I15"/>
    <mergeCell ref="H11:I11"/>
    <mergeCell ref="H12:I12"/>
    <mergeCell ref="H13:I13"/>
    <mergeCell ref="H14:I14"/>
    <mergeCell ref="A13:D13"/>
    <mergeCell ref="A14:D14"/>
    <mergeCell ref="E13:G13"/>
    <mergeCell ref="E14:G14"/>
    <mergeCell ref="E11:G11"/>
    <mergeCell ref="E12:G12"/>
    <mergeCell ref="A11:D11"/>
    <mergeCell ref="A12:D12"/>
  </mergeCells>
  <conditionalFormatting sqref="J18:J43">
    <cfRule type="top10" dxfId="0" priority="1" rank="10"/>
  </conditionalFormatting>
  <printOptions horizontalCentered="1"/>
  <pageMargins left="0.59055118110236227" right="0.39370078740157483" top="1.3779527559055118" bottom="0.59055118110236227" header="0.39370078740157483" footer="0.39370078740157483"/>
  <pageSetup paperSize="9" scale="74" fitToHeight="7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C42" sqref="C42"/>
    </sheetView>
  </sheetViews>
  <sheetFormatPr defaultRowHeight="14.4" x14ac:dyDescent="0.3"/>
  <cols>
    <col min="1" max="1" width="14.44140625" customWidth="1"/>
    <col min="2" max="2" width="37.5546875" customWidth="1"/>
    <col min="3" max="3" width="12.88671875" customWidth="1"/>
    <col min="4" max="4" width="36.5546875" customWidth="1"/>
    <col min="5" max="8" width="8.88671875" customWidth="1"/>
    <col min="9" max="9" width="11.6640625" customWidth="1"/>
    <col min="10" max="10" width="11" bestFit="1" customWidth="1"/>
    <col min="256" max="256" width="18.109375" customWidth="1"/>
    <col min="257" max="257" width="55.44140625" customWidth="1"/>
    <col min="512" max="512" width="18.109375" customWidth="1"/>
    <col min="513" max="513" width="55.44140625" customWidth="1"/>
    <col min="768" max="768" width="18.109375" customWidth="1"/>
    <col min="769" max="769" width="55.44140625" customWidth="1"/>
    <col min="1024" max="1024" width="18.109375" customWidth="1"/>
    <col min="1025" max="1025" width="55.44140625" customWidth="1"/>
    <col min="1280" max="1280" width="18.109375" customWidth="1"/>
    <col min="1281" max="1281" width="55.44140625" customWidth="1"/>
    <col min="1536" max="1536" width="18.109375" customWidth="1"/>
    <col min="1537" max="1537" width="55.44140625" customWidth="1"/>
    <col min="1792" max="1792" width="18.109375" customWidth="1"/>
    <col min="1793" max="1793" width="55.44140625" customWidth="1"/>
    <col min="2048" max="2048" width="18.109375" customWidth="1"/>
    <col min="2049" max="2049" width="55.44140625" customWidth="1"/>
    <col min="2304" max="2304" width="18.109375" customWidth="1"/>
    <col min="2305" max="2305" width="55.44140625" customWidth="1"/>
    <col min="2560" max="2560" width="18.109375" customWidth="1"/>
    <col min="2561" max="2561" width="55.44140625" customWidth="1"/>
    <col min="2816" max="2816" width="18.109375" customWidth="1"/>
    <col min="2817" max="2817" width="55.44140625" customWidth="1"/>
    <col min="3072" max="3072" width="18.109375" customWidth="1"/>
    <col min="3073" max="3073" width="55.44140625" customWidth="1"/>
    <col min="3328" max="3328" width="18.109375" customWidth="1"/>
    <col min="3329" max="3329" width="55.44140625" customWidth="1"/>
    <col min="3584" max="3584" width="18.109375" customWidth="1"/>
    <col min="3585" max="3585" width="55.44140625" customWidth="1"/>
    <col min="3840" max="3840" width="18.109375" customWidth="1"/>
    <col min="3841" max="3841" width="55.44140625" customWidth="1"/>
    <col min="4096" max="4096" width="18.109375" customWidth="1"/>
    <col min="4097" max="4097" width="55.44140625" customWidth="1"/>
    <col min="4352" max="4352" width="18.109375" customWidth="1"/>
    <col min="4353" max="4353" width="55.44140625" customWidth="1"/>
    <col min="4608" max="4608" width="18.109375" customWidth="1"/>
    <col min="4609" max="4609" width="55.44140625" customWidth="1"/>
    <col min="4864" max="4864" width="18.109375" customWidth="1"/>
    <col min="4865" max="4865" width="55.44140625" customWidth="1"/>
    <col min="5120" max="5120" width="18.109375" customWidth="1"/>
    <col min="5121" max="5121" width="55.44140625" customWidth="1"/>
    <col min="5376" max="5376" width="18.109375" customWidth="1"/>
    <col min="5377" max="5377" width="55.44140625" customWidth="1"/>
    <col min="5632" max="5632" width="18.109375" customWidth="1"/>
    <col min="5633" max="5633" width="55.44140625" customWidth="1"/>
    <col min="5888" max="5888" width="18.109375" customWidth="1"/>
    <col min="5889" max="5889" width="55.44140625" customWidth="1"/>
    <col min="6144" max="6144" width="18.109375" customWidth="1"/>
    <col min="6145" max="6145" width="55.44140625" customWidth="1"/>
    <col min="6400" max="6400" width="18.109375" customWidth="1"/>
    <col min="6401" max="6401" width="55.44140625" customWidth="1"/>
    <col min="6656" max="6656" width="18.109375" customWidth="1"/>
    <col min="6657" max="6657" width="55.44140625" customWidth="1"/>
    <col min="6912" max="6912" width="18.109375" customWidth="1"/>
    <col min="6913" max="6913" width="55.44140625" customWidth="1"/>
    <col min="7168" max="7168" width="18.109375" customWidth="1"/>
    <col min="7169" max="7169" width="55.44140625" customWidth="1"/>
    <col min="7424" max="7424" width="18.109375" customWidth="1"/>
    <col min="7425" max="7425" width="55.44140625" customWidth="1"/>
    <col min="7680" max="7680" width="18.109375" customWidth="1"/>
    <col min="7681" max="7681" width="55.44140625" customWidth="1"/>
    <col min="7936" max="7936" width="18.109375" customWidth="1"/>
    <col min="7937" max="7937" width="55.44140625" customWidth="1"/>
    <col min="8192" max="8192" width="18.109375" customWidth="1"/>
    <col min="8193" max="8193" width="55.44140625" customWidth="1"/>
    <col min="8448" max="8448" width="18.109375" customWidth="1"/>
    <col min="8449" max="8449" width="55.44140625" customWidth="1"/>
    <col min="8704" max="8704" width="18.109375" customWidth="1"/>
    <col min="8705" max="8705" width="55.44140625" customWidth="1"/>
    <col min="8960" max="8960" width="18.109375" customWidth="1"/>
    <col min="8961" max="8961" width="55.44140625" customWidth="1"/>
    <col min="9216" max="9216" width="18.109375" customWidth="1"/>
    <col min="9217" max="9217" width="55.44140625" customWidth="1"/>
    <col min="9472" max="9472" width="18.109375" customWidth="1"/>
    <col min="9473" max="9473" width="55.44140625" customWidth="1"/>
    <col min="9728" max="9728" width="18.109375" customWidth="1"/>
    <col min="9729" max="9729" width="55.44140625" customWidth="1"/>
    <col min="9984" max="9984" width="18.109375" customWidth="1"/>
    <col min="9985" max="9985" width="55.44140625" customWidth="1"/>
    <col min="10240" max="10240" width="18.109375" customWidth="1"/>
    <col min="10241" max="10241" width="55.44140625" customWidth="1"/>
    <col min="10496" max="10496" width="18.109375" customWidth="1"/>
    <col min="10497" max="10497" width="55.44140625" customWidth="1"/>
    <col min="10752" max="10752" width="18.109375" customWidth="1"/>
    <col min="10753" max="10753" width="55.44140625" customWidth="1"/>
    <col min="11008" max="11008" width="18.109375" customWidth="1"/>
    <col min="11009" max="11009" width="55.44140625" customWidth="1"/>
    <col min="11264" max="11264" width="18.109375" customWidth="1"/>
    <col min="11265" max="11265" width="55.44140625" customWidth="1"/>
    <col min="11520" max="11520" width="18.109375" customWidth="1"/>
    <col min="11521" max="11521" width="55.44140625" customWidth="1"/>
    <col min="11776" max="11776" width="18.109375" customWidth="1"/>
    <col min="11777" max="11777" width="55.44140625" customWidth="1"/>
    <col min="12032" max="12032" width="18.109375" customWidth="1"/>
    <col min="12033" max="12033" width="55.44140625" customWidth="1"/>
    <col min="12288" max="12288" width="18.109375" customWidth="1"/>
    <col min="12289" max="12289" width="55.44140625" customWidth="1"/>
    <col min="12544" max="12544" width="18.109375" customWidth="1"/>
    <col min="12545" max="12545" width="55.44140625" customWidth="1"/>
    <col min="12800" max="12800" width="18.109375" customWidth="1"/>
    <col min="12801" max="12801" width="55.44140625" customWidth="1"/>
    <col min="13056" max="13056" width="18.109375" customWidth="1"/>
    <col min="13057" max="13057" width="55.44140625" customWidth="1"/>
    <col min="13312" max="13312" width="18.109375" customWidth="1"/>
    <col min="13313" max="13313" width="55.44140625" customWidth="1"/>
    <col min="13568" max="13568" width="18.109375" customWidth="1"/>
    <col min="13569" max="13569" width="55.44140625" customWidth="1"/>
    <col min="13824" max="13824" width="18.109375" customWidth="1"/>
    <col min="13825" max="13825" width="55.44140625" customWidth="1"/>
    <col min="14080" max="14080" width="18.109375" customWidth="1"/>
    <col min="14081" max="14081" width="55.44140625" customWidth="1"/>
    <col min="14336" max="14336" width="18.109375" customWidth="1"/>
    <col min="14337" max="14337" width="55.44140625" customWidth="1"/>
    <col min="14592" max="14592" width="18.109375" customWidth="1"/>
    <col min="14593" max="14593" width="55.44140625" customWidth="1"/>
    <col min="14848" max="14848" width="18.109375" customWidth="1"/>
    <col min="14849" max="14849" width="55.44140625" customWidth="1"/>
    <col min="15104" max="15104" width="18.109375" customWidth="1"/>
    <col min="15105" max="15105" width="55.44140625" customWidth="1"/>
    <col min="15360" max="15360" width="18.109375" customWidth="1"/>
    <col min="15361" max="15361" width="55.44140625" customWidth="1"/>
    <col min="15616" max="15616" width="18.109375" customWidth="1"/>
    <col min="15617" max="15617" width="55.44140625" customWidth="1"/>
    <col min="15872" max="15872" width="18.109375" customWidth="1"/>
    <col min="15873" max="15873" width="55.44140625" customWidth="1"/>
    <col min="16128" max="16128" width="18.109375" customWidth="1"/>
    <col min="16129" max="16129" width="55.44140625" customWidth="1"/>
  </cols>
  <sheetData>
    <row r="1" spans="1:9" ht="24" customHeight="1" x14ac:dyDescent="0.3">
      <c r="A1" s="515" t="s">
        <v>79</v>
      </c>
      <c r="B1" s="516"/>
      <c r="C1" s="516"/>
      <c r="D1" s="516"/>
      <c r="E1" s="516"/>
      <c r="F1" s="516"/>
      <c r="G1" s="516"/>
      <c r="H1" s="516"/>
      <c r="I1" s="517"/>
    </row>
    <row r="2" spans="1:9" ht="24" customHeight="1" x14ac:dyDescent="0.3">
      <c r="A2" s="518"/>
      <c r="B2" s="519"/>
      <c r="C2" s="519"/>
      <c r="D2" s="519"/>
      <c r="E2" s="519"/>
      <c r="F2" s="519"/>
      <c r="G2" s="519"/>
      <c r="H2" s="519"/>
      <c r="I2" s="520"/>
    </row>
    <row r="3" spans="1:9" ht="15" customHeight="1" x14ac:dyDescent="0.3">
      <c r="A3" s="497" t="s">
        <v>55</v>
      </c>
      <c r="B3" s="491"/>
      <c r="C3" s="491"/>
      <c r="D3" s="498"/>
      <c r="E3" s="502" t="s">
        <v>56</v>
      </c>
      <c r="F3" s="491"/>
      <c r="G3" s="491"/>
      <c r="H3" s="491"/>
      <c r="I3" s="492"/>
    </row>
    <row r="4" spans="1:9" s="195" customFormat="1" ht="15" customHeight="1" x14ac:dyDescent="0.25">
      <c r="A4" s="499" t="s">
        <v>154</v>
      </c>
      <c r="B4" s="500"/>
      <c r="C4" s="500"/>
      <c r="D4" s="501"/>
      <c r="E4" s="503"/>
      <c r="F4" s="500"/>
      <c r="G4" s="500"/>
      <c r="H4" s="500"/>
      <c r="I4" s="507"/>
    </row>
    <row r="5" spans="1:9" s="195" customFormat="1" ht="15" customHeight="1" x14ac:dyDescent="0.25">
      <c r="A5" s="512" t="s">
        <v>57</v>
      </c>
      <c r="B5" s="513"/>
      <c r="C5" s="513"/>
      <c r="D5" s="513"/>
      <c r="E5" s="513"/>
      <c r="F5" s="513"/>
      <c r="G5" s="513"/>
      <c r="H5" s="513"/>
      <c r="I5" s="514"/>
    </row>
    <row r="6" spans="1:9" s="195" customFormat="1" ht="15" customHeight="1" x14ac:dyDescent="0.25">
      <c r="A6" s="499" t="s">
        <v>94</v>
      </c>
      <c r="B6" s="500"/>
      <c r="C6" s="500"/>
      <c r="D6" s="500"/>
      <c r="E6" s="500"/>
      <c r="F6" s="500"/>
      <c r="G6" s="500"/>
      <c r="H6" s="500"/>
      <c r="I6" s="507"/>
    </row>
    <row r="7" spans="1:9" s="195" customFormat="1" ht="15" customHeight="1" x14ac:dyDescent="0.25">
      <c r="A7" s="497" t="s">
        <v>58</v>
      </c>
      <c r="B7" s="491"/>
      <c r="C7" s="491"/>
      <c r="D7" s="491"/>
      <c r="E7" s="491"/>
      <c r="F7" s="491"/>
      <c r="G7" s="491"/>
      <c r="H7" s="491"/>
      <c r="I7" s="492"/>
    </row>
    <row r="8" spans="1:9" s="195" customFormat="1" ht="15" customHeight="1" x14ac:dyDescent="0.25">
      <c r="A8" s="499" t="s">
        <v>77</v>
      </c>
      <c r="B8" s="500"/>
      <c r="C8" s="500"/>
      <c r="D8" s="500"/>
      <c r="E8" s="500"/>
      <c r="F8" s="500"/>
      <c r="G8" s="500"/>
      <c r="H8" s="500"/>
      <c r="I8" s="507"/>
    </row>
    <row r="9" spans="1:9" s="195" customFormat="1" ht="15" customHeight="1" x14ac:dyDescent="0.25">
      <c r="A9" s="497" t="s">
        <v>59</v>
      </c>
      <c r="B9" s="491"/>
      <c r="C9" s="491"/>
      <c r="D9" s="498"/>
      <c r="E9" s="491" t="s">
        <v>60</v>
      </c>
      <c r="F9" s="491"/>
      <c r="G9" s="498"/>
      <c r="H9" s="502" t="s">
        <v>61</v>
      </c>
      <c r="I9" s="492"/>
    </row>
    <row r="10" spans="1:9" s="195" customFormat="1" ht="15" customHeight="1" x14ac:dyDescent="0.25">
      <c r="A10" s="499" t="str">
        <f>' ORÇAMENTO'!A10:D10</f>
        <v>MINISTÉRIO DO TURISMO</v>
      </c>
      <c r="B10" s="500"/>
      <c r="C10" s="500"/>
      <c r="D10" s="501"/>
      <c r="E10" s="510">
        <f>' ORÇAMENTO'!E10:G10</f>
        <v>243750</v>
      </c>
      <c r="F10" s="510"/>
      <c r="G10" s="511"/>
      <c r="H10" s="508" t="str">
        <f>' ORÇAMENTO'!H10:I10</f>
        <v>1.028.518-74</v>
      </c>
      <c r="I10" s="539"/>
    </row>
    <row r="11" spans="1:9" s="195" customFormat="1" ht="15" customHeight="1" x14ac:dyDescent="0.25">
      <c r="A11" s="497" t="s">
        <v>62</v>
      </c>
      <c r="B11" s="491"/>
      <c r="C11" s="491"/>
      <c r="D11" s="498"/>
      <c r="E11" s="502" t="s">
        <v>63</v>
      </c>
      <c r="F11" s="491"/>
      <c r="G11" s="498"/>
      <c r="H11" s="491" t="s">
        <v>64</v>
      </c>
      <c r="I11" s="492"/>
    </row>
    <row r="12" spans="1:9" s="195" customFormat="1" ht="15" customHeight="1" x14ac:dyDescent="0.25">
      <c r="A12" s="499" t="str">
        <f>' ORÇAMENTO'!A12:D12</f>
        <v>SINAPI DESONERADA (FEV/17) E ORSE (JAN/17)</v>
      </c>
      <c r="B12" s="500"/>
      <c r="C12" s="500"/>
      <c r="D12" s="501"/>
      <c r="E12" s="504">
        <f>' ORÇAMENTO'!E12:G12</f>
        <v>0.25215503759149449</v>
      </c>
      <c r="F12" s="505"/>
      <c r="G12" s="506"/>
      <c r="H12" s="493">
        <v>42826</v>
      </c>
      <c r="I12" s="494"/>
    </row>
    <row r="13" spans="1:9" s="195" customFormat="1" ht="15" customHeight="1" x14ac:dyDescent="0.25">
      <c r="A13" s="497" t="s">
        <v>65</v>
      </c>
      <c r="B13" s="491"/>
      <c r="C13" s="491"/>
      <c r="D13" s="498"/>
      <c r="E13" s="502" t="s">
        <v>66</v>
      </c>
      <c r="F13" s="491"/>
      <c r="G13" s="498"/>
      <c r="H13" s="491" t="s">
        <v>67</v>
      </c>
      <c r="I13" s="492"/>
    </row>
    <row r="14" spans="1:9" s="195" customFormat="1" ht="15" customHeight="1" x14ac:dyDescent="0.25">
      <c r="A14" s="499" t="s">
        <v>69</v>
      </c>
      <c r="B14" s="500"/>
      <c r="C14" s="500"/>
      <c r="D14" s="501"/>
      <c r="E14" s="503" t="s">
        <v>70</v>
      </c>
      <c r="F14" s="500"/>
      <c r="G14" s="501"/>
      <c r="H14" s="495"/>
      <c r="I14" s="496"/>
    </row>
    <row r="15" spans="1:9" s="195" customFormat="1" ht="15" customHeight="1" x14ac:dyDescent="0.35">
      <c r="A15" s="226"/>
      <c r="B15" s="220"/>
      <c r="C15" s="220"/>
      <c r="D15" s="220"/>
      <c r="E15" s="220"/>
      <c r="F15" s="220"/>
      <c r="G15" s="220"/>
      <c r="H15" s="220"/>
      <c r="I15" s="227"/>
    </row>
    <row r="16" spans="1:9" s="195" customFormat="1" x14ac:dyDescent="0.3">
      <c r="A16" s="536"/>
      <c r="B16" s="537"/>
      <c r="C16" s="537"/>
      <c r="D16" s="537"/>
      <c r="E16" s="537"/>
      <c r="F16" s="537"/>
      <c r="G16" s="537"/>
      <c r="H16" s="537"/>
      <c r="I16" s="538"/>
    </row>
    <row r="17" spans="1:10" s="195" customFormat="1" ht="41.25" customHeight="1" x14ac:dyDescent="0.25">
      <c r="A17" s="445" t="s">
        <v>101</v>
      </c>
      <c r="B17" s="540" t="s">
        <v>80</v>
      </c>
      <c r="C17" s="540"/>
      <c r="D17" s="540"/>
      <c r="E17" s="540"/>
      <c r="F17" s="540"/>
      <c r="G17" s="540"/>
      <c r="H17" s="540"/>
      <c r="I17" s="541"/>
    </row>
    <row r="18" spans="1:10" s="195" customFormat="1" ht="13.2" x14ac:dyDescent="0.25">
      <c r="A18" s="228"/>
      <c r="B18" s="196"/>
      <c r="C18" s="197"/>
      <c r="D18" s="196"/>
      <c r="E18" s="196"/>
      <c r="F18" s="196"/>
      <c r="G18" s="196"/>
      <c r="H18" s="196"/>
      <c r="I18" s="229"/>
    </row>
    <row r="19" spans="1:10" s="195" customFormat="1" ht="26.4" x14ac:dyDescent="0.25">
      <c r="A19" s="230" t="s">
        <v>13</v>
      </c>
      <c r="B19" s="198" t="s">
        <v>81</v>
      </c>
      <c r="C19" s="199" t="s">
        <v>82</v>
      </c>
      <c r="D19" s="198" t="s">
        <v>83</v>
      </c>
      <c r="E19" s="198" t="s">
        <v>84</v>
      </c>
      <c r="F19" s="198" t="s">
        <v>85</v>
      </c>
      <c r="G19" s="198" t="s">
        <v>86</v>
      </c>
      <c r="H19" s="198" t="s">
        <v>87</v>
      </c>
      <c r="I19" s="231" t="s">
        <v>88</v>
      </c>
    </row>
    <row r="20" spans="1:10" s="195" customFormat="1" ht="13.2" x14ac:dyDescent="0.25">
      <c r="A20" s="232"/>
      <c r="B20" s="200" t="s">
        <v>89</v>
      </c>
      <c r="C20" s="200"/>
      <c r="D20" s="200"/>
      <c r="E20" s="200"/>
      <c r="F20" s="200"/>
      <c r="G20" s="200"/>
      <c r="H20" s="200"/>
      <c r="I20" s="233"/>
    </row>
    <row r="21" spans="1:10" s="195" customFormat="1" ht="13.2" x14ac:dyDescent="0.25">
      <c r="A21" s="234" t="s">
        <v>149</v>
      </c>
      <c r="B21" s="202" t="s">
        <v>150</v>
      </c>
      <c r="C21" s="203">
        <v>0.52</v>
      </c>
      <c r="D21" s="201" t="s">
        <v>90</v>
      </c>
      <c r="E21" s="204">
        <v>2.75</v>
      </c>
      <c r="F21" s="205">
        <f>E21*C21</f>
        <v>1.4300000000000002</v>
      </c>
      <c r="G21" s="205"/>
      <c r="H21" s="205"/>
      <c r="I21" s="235">
        <f>F21</f>
        <v>1.4300000000000002</v>
      </c>
    </row>
    <row r="22" spans="1:10" s="195" customFormat="1" ht="39.6" x14ac:dyDescent="0.25">
      <c r="A22" s="234" t="s">
        <v>201</v>
      </c>
      <c r="B22" s="202" t="s">
        <v>202</v>
      </c>
      <c r="C22" s="203">
        <v>1.05</v>
      </c>
      <c r="D22" s="201" t="s">
        <v>203</v>
      </c>
      <c r="E22" s="448">
        <v>52.28</v>
      </c>
      <c r="F22" s="205">
        <f>E22*C22</f>
        <v>54.894000000000005</v>
      </c>
      <c r="G22" s="205"/>
      <c r="H22" s="205"/>
      <c r="I22" s="235">
        <f>F22</f>
        <v>54.894000000000005</v>
      </c>
    </row>
    <row r="23" spans="1:10" s="195" customFormat="1" ht="13.2" x14ac:dyDescent="0.25">
      <c r="A23" s="234" t="s">
        <v>151</v>
      </c>
      <c r="B23" s="202" t="s">
        <v>152</v>
      </c>
      <c r="C23" s="203">
        <v>4</v>
      </c>
      <c r="D23" s="201" t="s">
        <v>90</v>
      </c>
      <c r="E23" s="204">
        <v>1.31</v>
      </c>
      <c r="F23" s="205">
        <f>E23*C23</f>
        <v>5.24</v>
      </c>
      <c r="G23" s="205"/>
      <c r="H23" s="205"/>
      <c r="I23" s="235">
        <f>F23</f>
        <v>5.24</v>
      </c>
    </row>
    <row r="24" spans="1:10" s="195" customFormat="1" ht="13.2" x14ac:dyDescent="0.25">
      <c r="A24" s="234"/>
      <c r="B24" s="202"/>
      <c r="C24" s="203"/>
      <c r="D24" s="201"/>
      <c r="E24" s="204"/>
      <c r="F24" s="205"/>
      <c r="G24" s="205"/>
      <c r="H24" s="205"/>
      <c r="I24" s="235"/>
    </row>
    <row r="25" spans="1:10" s="195" customFormat="1" ht="13.2" x14ac:dyDescent="0.25">
      <c r="A25" s="234"/>
      <c r="B25" s="202"/>
      <c r="C25" s="203"/>
      <c r="D25" s="201"/>
      <c r="E25" s="204"/>
      <c r="F25" s="205"/>
      <c r="G25" s="205"/>
      <c r="H25" s="205"/>
      <c r="I25" s="235"/>
    </row>
    <row r="26" spans="1:10" s="195" customFormat="1" ht="26.4" x14ac:dyDescent="0.25">
      <c r="A26" s="236"/>
      <c r="B26" s="207"/>
      <c r="C26" s="208"/>
      <c r="D26" s="206"/>
      <c r="E26" s="205"/>
      <c r="F26" s="205"/>
      <c r="G26" s="205"/>
      <c r="H26" s="209" t="s">
        <v>91</v>
      </c>
      <c r="I26" s="237">
        <f>SUM(I21:I23)</f>
        <v>61.564000000000007</v>
      </c>
    </row>
    <row r="27" spans="1:10" s="195" customFormat="1" ht="13.2" x14ac:dyDescent="0.25">
      <c r="A27" s="236"/>
      <c r="B27" s="207"/>
      <c r="C27" s="208"/>
      <c r="D27" s="206"/>
      <c r="E27" s="204"/>
      <c r="F27" s="204"/>
      <c r="G27" s="206"/>
      <c r="H27" s="206"/>
      <c r="I27" s="238"/>
    </row>
    <row r="28" spans="1:10" s="195" customFormat="1" ht="13.2" x14ac:dyDescent="0.25">
      <c r="A28" s="542" t="s">
        <v>92</v>
      </c>
      <c r="B28" s="543"/>
      <c r="C28" s="543"/>
      <c r="D28" s="543"/>
      <c r="E28" s="543"/>
      <c r="F28" s="543"/>
      <c r="G28" s="543"/>
      <c r="H28" s="543"/>
      <c r="I28" s="544"/>
    </row>
    <row r="29" spans="1:10" s="195" customFormat="1" ht="13.2" x14ac:dyDescent="0.25">
      <c r="A29" s="239"/>
      <c r="B29" s="210"/>
      <c r="C29" s="211"/>
      <c r="D29" s="212"/>
      <c r="E29" s="213"/>
      <c r="F29" s="214"/>
      <c r="G29" s="205"/>
      <c r="H29" s="205"/>
      <c r="I29" s="235"/>
    </row>
    <row r="30" spans="1:10" s="195" customFormat="1" ht="26.4" x14ac:dyDescent="0.25">
      <c r="A30" s="447" t="s">
        <v>198</v>
      </c>
      <c r="B30" s="446" t="s">
        <v>197</v>
      </c>
      <c r="C30" s="211">
        <v>0.5</v>
      </c>
      <c r="D30" s="212" t="s">
        <v>93</v>
      </c>
      <c r="E30" s="213">
        <v>17.29</v>
      </c>
      <c r="F30" s="214"/>
      <c r="G30" s="205">
        <f>E30*C30</f>
        <v>8.6449999999999996</v>
      </c>
      <c r="H30" s="205"/>
      <c r="I30" s="235">
        <f>G30</f>
        <v>8.6449999999999996</v>
      </c>
    </row>
    <row r="31" spans="1:10" ht="26.4" x14ac:dyDescent="0.3">
      <c r="A31" s="447" t="s">
        <v>200</v>
      </c>
      <c r="B31" s="446" t="s">
        <v>199</v>
      </c>
      <c r="C31" s="211">
        <v>1.2</v>
      </c>
      <c r="D31" s="212" t="s">
        <v>93</v>
      </c>
      <c r="E31" s="204">
        <v>14.16</v>
      </c>
      <c r="F31" s="214"/>
      <c r="G31" s="205">
        <f>E31*C31</f>
        <v>16.992000000000001</v>
      </c>
      <c r="H31" s="205"/>
      <c r="I31" s="235">
        <f>G31</f>
        <v>16.992000000000001</v>
      </c>
    </row>
    <row r="32" spans="1:10" x14ac:dyDescent="0.3">
      <c r="A32" s="239"/>
      <c r="B32" s="293"/>
      <c r="C32" s="215"/>
      <c r="D32" s="206"/>
      <c r="E32" s="216"/>
      <c r="F32" s="216"/>
      <c r="G32" s="216"/>
      <c r="H32" s="216"/>
      <c r="I32" s="235"/>
      <c r="J32" s="434"/>
    </row>
    <row r="33" spans="1:9" ht="26.4" x14ac:dyDescent="0.3">
      <c r="A33" s="239"/>
      <c r="B33" s="217"/>
      <c r="C33" s="218"/>
      <c r="D33" s="214"/>
      <c r="E33" s="216"/>
      <c r="F33" s="216"/>
      <c r="G33" s="216"/>
      <c r="H33" s="209" t="s">
        <v>91</v>
      </c>
      <c r="I33" s="240">
        <f>SUM(I30:I32)</f>
        <v>25.637</v>
      </c>
    </row>
    <row r="34" spans="1:9" x14ac:dyDescent="0.3">
      <c r="A34" s="241"/>
      <c r="B34" s="221"/>
      <c r="C34" s="222"/>
      <c r="D34" s="223"/>
      <c r="E34" s="224"/>
      <c r="F34" s="225"/>
      <c r="G34" s="225"/>
      <c r="H34" s="225"/>
      <c r="I34" s="242"/>
    </row>
    <row r="35" spans="1:9" ht="25.5" customHeight="1" thickBot="1" x14ac:dyDescent="0.35">
      <c r="A35" s="243"/>
      <c r="B35" s="244"/>
      <c r="C35" s="245"/>
      <c r="D35" s="246"/>
      <c r="E35" s="545" t="s">
        <v>95</v>
      </c>
      <c r="F35" s="545"/>
      <c r="G35" s="545"/>
      <c r="H35" s="545"/>
      <c r="I35" s="247">
        <f>I33+I26</f>
        <v>87.201000000000008</v>
      </c>
    </row>
    <row r="36" spans="1:9" s="195" customFormat="1" ht="26.4" x14ac:dyDescent="0.25">
      <c r="A36" s="445" t="s">
        <v>160</v>
      </c>
      <c r="B36" s="540" t="s">
        <v>161</v>
      </c>
      <c r="C36" s="540"/>
      <c r="D36" s="540"/>
      <c r="E36" s="540"/>
      <c r="F36" s="540"/>
      <c r="G36" s="540"/>
      <c r="H36" s="540"/>
      <c r="I36" s="541"/>
    </row>
    <row r="37" spans="1:9" s="195" customFormat="1" ht="13.2" x14ac:dyDescent="0.25">
      <c r="A37" s="228"/>
      <c r="B37" s="196"/>
      <c r="C37" s="197"/>
      <c r="D37" s="196"/>
      <c r="E37" s="196"/>
      <c r="F37" s="196"/>
      <c r="G37" s="196"/>
      <c r="H37" s="196"/>
      <c r="I37" s="229"/>
    </row>
    <row r="38" spans="1:9" s="195" customFormat="1" ht="26.4" x14ac:dyDescent="0.25">
      <c r="A38" s="230" t="s">
        <v>13</v>
      </c>
      <c r="B38" s="198" t="s">
        <v>81</v>
      </c>
      <c r="C38" s="199" t="s">
        <v>82</v>
      </c>
      <c r="D38" s="198" t="s">
        <v>83</v>
      </c>
      <c r="E38" s="198" t="s">
        <v>84</v>
      </c>
      <c r="F38" s="198" t="s">
        <v>85</v>
      </c>
      <c r="G38" s="198" t="s">
        <v>86</v>
      </c>
      <c r="H38" s="198" t="s">
        <v>87</v>
      </c>
      <c r="I38" s="231" t="s">
        <v>88</v>
      </c>
    </row>
    <row r="39" spans="1:9" s="195" customFormat="1" ht="13.2" x14ac:dyDescent="0.25">
      <c r="A39" s="542" t="s">
        <v>92</v>
      </c>
      <c r="B39" s="543"/>
      <c r="C39" s="543"/>
      <c r="D39" s="543"/>
      <c r="E39" s="543"/>
      <c r="F39" s="543"/>
      <c r="G39" s="543"/>
      <c r="H39" s="543"/>
      <c r="I39" s="544"/>
    </row>
    <row r="40" spans="1:9" s="195" customFormat="1" ht="13.2" x14ac:dyDescent="0.25">
      <c r="A40" s="239"/>
      <c r="B40" s="210"/>
      <c r="C40" s="211"/>
      <c r="D40" s="212"/>
      <c r="E40" s="213"/>
      <c r="F40" s="214"/>
      <c r="G40" s="205"/>
      <c r="H40" s="205"/>
      <c r="I40" s="235"/>
    </row>
    <row r="41" spans="1:9" ht="26.4" x14ac:dyDescent="0.3">
      <c r="A41" s="447" t="s">
        <v>200</v>
      </c>
      <c r="B41" s="446" t="s">
        <v>199</v>
      </c>
      <c r="C41" s="211">
        <v>0.73</v>
      </c>
      <c r="D41" s="212" t="s">
        <v>93</v>
      </c>
      <c r="E41" s="204">
        <v>14.16</v>
      </c>
      <c r="F41" s="214"/>
      <c r="G41" s="205">
        <f>E41*C41</f>
        <v>10.3368</v>
      </c>
      <c r="H41" s="205"/>
      <c r="I41" s="235">
        <f>G41</f>
        <v>10.3368</v>
      </c>
    </row>
    <row r="42" spans="1:9" x14ac:dyDescent="0.3">
      <c r="A42" s="239"/>
      <c r="B42" s="444"/>
      <c r="C42" s="215"/>
      <c r="D42" s="206"/>
      <c r="E42" s="216"/>
      <c r="F42" s="216"/>
      <c r="G42" s="216"/>
      <c r="H42" s="216"/>
      <c r="I42" s="235"/>
    </row>
    <row r="43" spans="1:9" ht="26.4" x14ac:dyDescent="0.3">
      <c r="A43" s="239"/>
      <c r="B43" s="217"/>
      <c r="C43" s="218"/>
      <c r="D43" s="214"/>
      <c r="E43" s="216"/>
      <c r="F43" s="216"/>
      <c r="G43" s="216"/>
      <c r="H43" s="209" t="s">
        <v>91</v>
      </c>
      <c r="I43" s="240">
        <f>SUM(I41:I42)</f>
        <v>10.3368</v>
      </c>
    </row>
    <row r="44" spans="1:9" x14ac:dyDescent="0.3">
      <c r="A44" s="241"/>
      <c r="B44" s="221"/>
      <c r="C44" s="222"/>
      <c r="D44" s="223"/>
      <c r="E44" s="224"/>
      <c r="F44" s="225"/>
      <c r="G44" s="225"/>
      <c r="H44" s="225"/>
      <c r="I44" s="242"/>
    </row>
    <row r="45" spans="1:9" ht="25.5" customHeight="1" thickBot="1" x14ac:dyDescent="0.35">
      <c r="A45" s="243"/>
      <c r="B45" s="244"/>
      <c r="C45" s="245"/>
      <c r="D45" s="246"/>
      <c r="E45" s="545" t="s">
        <v>95</v>
      </c>
      <c r="F45" s="545"/>
      <c r="G45" s="545"/>
      <c r="H45" s="545"/>
      <c r="I45" s="247">
        <f>I43</f>
        <v>10.3368</v>
      </c>
    </row>
    <row r="48" spans="1:9" x14ac:dyDescent="0.3">
      <c r="B48" s="219"/>
    </row>
  </sheetData>
  <mergeCells count="34">
    <mergeCell ref="B36:I36"/>
    <mergeCell ref="A39:I39"/>
    <mergeCell ref="E45:H45"/>
    <mergeCell ref="A6:I6"/>
    <mergeCell ref="A7:I7"/>
    <mergeCell ref="E35:H35"/>
    <mergeCell ref="E12:G12"/>
    <mergeCell ref="H12:I12"/>
    <mergeCell ref="A13:D13"/>
    <mergeCell ref="E13:G13"/>
    <mergeCell ref="H13:I13"/>
    <mergeCell ref="B17:I17"/>
    <mergeCell ref="A28:I28"/>
    <mergeCell ref="A5:I5"/>
    <mergeCell ref="A16:I16"/>
    <mergeCell ref="A8:I8"/>
    <mergeCell ref="A9:D9"/>
    <mergeCell ref="E9:G9"/>
    <mergeCell ref="H9:I9"/>
    <mergeCell ref="A10:D10"/>
    <mergeCell ref="E10:G10"/>
    <mergeCell ref="H10:I10"/>
    <mergeCell ref="A11:D11"/>
    <mergeCell ref="E11:G11"/>
    <mergeCell ref="H11:I11"/>
    <mergeCell ref="A14:D14"/>
    <mergeCell ref="E14:G14"/>
    <mergeCell ref="H14:I14"/>
    <mergeCell ref="A12:D12"/>
    <mergeCell ref="A1:I2"/>
    <mergeCell ref="A3:D3"/>
    <mergeCell ref="E3:I3"/>
    <mergeCell ref="A4:D4"/>
    <mergeCell ref="E4:I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4"/>
  <sheetViews>
    <sheetView view="pageBreakPreview" topLeftCell="A100" zoomScaleSheetLayoutView="100" workbookViewId="0">
      <selection activeCell="J124" sqref="J124"/>
    </sheetView>
  </sheetViews>
  <sheetFormatPr defaultColWidth="9.109375" defaultRowHeight="10.8" outlineLevelCol="1" x14ac:dyDescent="0.25"/>
  <cols>
    <col min="1" max="1" width="4.88671875" style="9" customWidth="1"/>
    <col min="2" max="2" width="7.33203125" style="9" bestFit="1" customWidth="1"/>
    <col min="3" max="3" width="8.33203125" style="10" bestFit="1" customWidth="1"/>
    <col min="4" max="4" width="42.33203125" style="1" customWidth="1"/>
    <col min="5" max="5" width="4.6640625" style="1" bestFit="1" customWidth="1"/>
    <col min="6" max="6" width="7.5546875" style="11" bestFit="1" customWidth="1"/>
    <col min="7" max="7" width="12.6640625" style="11" bestFit="1" customWidth="1"/>
    <col min="8" max="8" width="8.33203125" style="11" bestFit="1" customWidth="1"/>
    <col min="9" max="9" width="13.88671875" style="12" customWidth="1"/>
    <col min="10" max="10" width="8.109375" style="1" bestFit="1" customWidth="1"/>
    <col min="11" max="11" width="12.6640625" style="1" hidden="1" customWidth="1" outlineLevel="1"/>
    <col min="12" max="12" width="14.33203125" style="1" hidden="1" customWidth="1" outlineLevel="1"/>
    <col min="13" max="13" width="12.6640625" style="1" hidden="1" customWidth="1" outlineLevel="1"/>
    <col min="14" max="14" width="13.5546875" style="1" bestFit="1" customWidth="1" collapsed="1"/>
    <col min="15" max="15" width="9.109375" style="1" customWidth="1"/>
    <col min="16" max="16" width="23.109375" style="1" customWidth="1"/>
    <col min="17" max="17" width="20.109375" style="1" bestFit="1" customWidth="1"/>
    <col min="18" max="18" width="23.109375" style="1" customWidth="1"/>
    <col min="19" max="16384" width="9.109375" style="1"/>
  </cols>
  <sheetData>
    <row r="1" spans="1:23" ht="24" customHeight="1" thickTop="1" thickBot="1" x14ac:dyDescent="0.3">
      <c r="A1" s="515" t="s">
        <v>68</v>
      </c>
      <c r="B1" s="516"/>
      <c r="C1" s="516"/>
      <c r="D1" s="516"/>
      <c r="E1" s="516"/>
      <c r="F1" s="516"/>
      <c r="G1" s="516"/>
      <c r="H1" s="516"/>
      <c r="I1" s="516"/>
      <c r="J1" s="517"/>
      <c r="K1" s="134"/>
      <c r="L1" s="134"/>
      <c r="M1" s="135"/>
    </row>
    <row r="2" spans="1:23" ht="24" customHeight="1" thickTop="1" x14ac:dyDescent="0.25">
      <c r="A2" s="553"/>
      <c r="B2" s="554"/>
      <c r="C2" s="554"/>
      <c r="D2" s="554"/>
      <c r="E2" s="554"/>
      <c r="F2" s="554"/>
      <c r="G2" s="554"/>
      <c r="H2" s="554"/>
      <c r="I2" s="554"/>
      <c r="J2" s="555"/>
    </row>
    <row r="3" spans="1:23" s="143" customFormat="1" ht="15" customHeight="1" x14ac:dyDescent="0.3">
      <c r="A3" s="512" t="s">
        <v>55</v>
      </c>
      <c r="B3" s="513"/>
      <c r="C3" s="513"/>
      <c r="D3" s="559"/>
      <c r="E3" s="502" t="s">
        <v>56</v>
      </c>
      <c r="F3" s="491"/>
      <c r="G3" s="491"/>
      <c r="H3" s="491"/>
      <c r="I3" s="491"/>
      <c r="J3" s="492"/>
    </row>
    <row r="4" spans="1:23" s="143" customFormat="1" ht="15" customHeight="1" x14ac:dyDescent="0.3">
      <c r="A4" s="560" t="str">
        <f>' ORÇAMENTO'!A4:D4</f>
        <v>Prefeitura Municipal do Carpina</v>
      </c>
      <c r="B4" s="546"/>
      <c r="C4" s="546"/>
      <c r="D4" s="561"/>
      <c r="E4" s="556"/>
      <c r="F4" s="546"/>
      <c r="G4" s="546"/>
      <c r="H4" s="546"/>
      <c r="I4" s="546"/>
      <c r="J4" s="557"/>
    </row>
    <row r="5" spans="1:23" s="143" customFormat="1" ht="15" customHeight="1" x14ac:dyDescent="0.3">
      <c r="A5" s="497" t="s">
        <v>57</v>
      </c>
      <c r="B5" s="491"/>
      <c r="C5" s="491"/>
      <c r="D5" s="491"/>
      <c r="E5" s="491"/>
      <c r="F5" s="491"/>
      <c r="G5" s="491"/>
      <c r="H5" s="491"/>
      <c r="I5" s="491"/>
      <c r="J5" s="180"/>
      <c r="K5" s="144"/>
      <c r="L5" s="144"/>
      <c r="M5" s="144"/>
    </row>
    <row r="6" spans="1:23" s="143" customFormat="1" ht="15" customHeight="1" x14ac:dyDescent="0.3">
      <c r="A6" s="560" t="str">
        <f>' ORÇAMENTO'!A6:I6</f>
        <v>REVITALIZAÇÃO DO PÁTIO J. CÂNDIDO EM CARPINA</v>
      </c>
      <c r="B6" s="546"/>
      <c r="C6" s="546"/>
      <c r="D6" s="546"/>
      <c r="E6" s="546"/>
      <c r="F6" s="546"/>
      <c r="G6" s="546"/>
      <c r="H6" s="546"/>
      <c r="I6" s="546"/>
      <c r="J6" s="181"/>
      <c r="K6" s="144"/>
      <c r="L6" s="144"/>
      <c r="M6" s="144"/>
      <c r="O6" s="145"/>
    </row>
    <row r="7" spans="1:23" s="143" customFormat="1" ht="15" customHeight="1" x14ac:dyDescent="0.3">
      <c r="A7" s="497" t="s">
        <v>58</v>
      </c>
      <c r="B7" s="491"/>
      <c r="C7" s="491"/>
      <c r="D7" s="491"/>
      <c r="E7" s="491"/>
      <c r="F7" s="491"/>
      <c r="G7" s="491"/>
      <c r="H7" s="491"/>
      <c r="I7" s="491"/>
      <c r="J7" s="180"/>
      <c r="K7" s="144"/>
      <c r="L7" s="144"/>
      <c r="M7" s="144"/>
      <c r="O7" s="387"/>
    </row>
    <row r="8" spans="1:23" s="143" customFormat="1" ht="15" customHeight="1" x14ac:dyDescent="0.3">
      <c r="A8" s="499" t="str">
        <f>' ORÇAMENTO'!A8:I8</f>
        <v>AV. SEVERIANO JOSÉ FREIRE, CARPINA - PE</v>
      </c>
      <c r="B8" s="500"/>
      <c r="C8" s="500"/>
      <c r="D8" s="500"/>
      <c r="E8" s="500"/>
      <c r="F8" s="500"/>
      <c r="G8" s="500"/>
      <c r="H8" s="546"/>
      <c r="I8" s="546"/>
      <c r="J8" s="181"/>
      <c r="K8" s="144"/>
      <c r="L8" s="144"/>
      <c r="M8" s="144"/>
    </row>
    <row r="9" spans="1:23" s="143" customFormat="1" ht="15" customHeight="1" x14ac:dyDescent="0.3">
      <c r="A9" s="512" t="s">
        <v>59</v>
      </c>
      <c r="B9" s="513"/>
      <c r="C9" s="513"/>
      <c r="D9" s="559"/>
      <c r="E9" s="513" t="s">
        <v>60</v>
      </c>
      <c r="F9" s="513"/>
      <c r="G9" s="513"/>
      <c r="H9" s="502" t="s">
        <v>61</v>
      </c>
      <c r="I9" s="491"/>
      <c r="J9" s="180"/>
      <c r="K9" s="144"/>
      <c r="L9" s="144"/>
      <c r="M9" s="144"/>
    </row>
    <row r="10" spans="1:23" s="143" customFormat="1" ht="15" customHeight="1" x14ac:dyDescent="0.3">
      <c r="A10" s="499" t="str">
        <f>' ORÇAMENTO'!A10:D10</f>
        <v>MINISTÉRIO DO TURISMO</v>
      </c>
      <c r="B10" s="500"/>
      <c r="C10" s="500"/>
      <c r="D10" s="501"/>
      <c r="E10" s="510">
        <f>' ORÇAMENTO'!E10:G10</f>
        <v>243750</v>
      </c>
      <c r="F10" s="510"/>
      <c r="G10" s="510"/>
      <c r="H10" s="547" t="str">
        <f>' ORÇAMENTO'!H10:I10</f>
        <v>1.028.518-74</v>
      </c>
      <c r="I10" s="548"/>
      <c r="J10" s="181"/>
      <c r="K10" s="144"/>
      <c r="L10" s="144"/>
      <c r="M10" s="144"/>
    </row>
    <row r="11" spans="1:23" s="143" customFormat="1" ht="15" customHeight="1" x14ac:dyDescent="0.3">
      <c r="A11" s="497" t="s">
        <v>62</v>
      </c>
      <c r="B11" s="491"/>
      <c r="C11" s="491"/>
      <c r="D11" s="498"/>
      <c r="E11" s="502" t="s">
        <v>63</v>
      </c>
      <c r="F11" s="491"/>
      <c r="G11" s="498"/>
      <c r="H11" s="502" t="s">
        <v>64</v>
      </c>
      <c r="I11" s="491"/>
      <c r="J11" s="180"/>
      <c r="K11" s="144"/>
      <c r="L11" s="144"/>
      <c r="M11" s="144"/>
    </row>
    <row r="12" spans="1:23" s="143" customFormat="1" ht="15" customHeight="1" x14ac:dyDescent="0.3">
      <c r="A12" s="499" t="str">
        <f>' ORÇAMENTO'!A12:D12</f>
        <v>SINAPI DESONERADA (FEV/17) E ORSE (JAN/17)</v>
      </c>
      <c r="B12" s="500"/>
      <c r="C12" s="500"/>
      <c r="D12" s="501"/>
      <c r="E12" s="504">
        <f>' ORÇAMENTO'!E12:G12</f>
        <v>0.25215503759149449</v>
      </c>
      <c r="F12" s="505"/>
      <c r="G12" s="506"/>
      <c r="H12" s="493">
        <f>' ORÇAMENTO'!H12:I12</f>
        <v>42826</v>
      </c>
      <c r="I12" s="558"/>
      <c r="J12" s="182"/>
      <c r="K12" s="144"/>
      <c r="L12" s="144"/>
      <c r="M12" s="144"/>
    </row>
    <row r="13" spans="1:23" s="143" customFormat="1" ht="15" customHeight="1" x14ac:dyDescent="0.3">
      <c r="A13" s="497" t="s">
        <v>65</v>
      </c>
      <c r="B13" s="491"/>
      <c r="C13" s="491"/>
      <c r="D13" s="498"/>
      <c r="E13" s="502" t="s">
        <v>66</v>
      </c>
      <c r="F13" s="491"/>
      <c r="G13" s="498"/>
      <c r="H13" s="502" t="s">
        <v>67</v>
      </c>
      <c r="I13" s="491"/>
      <c r="J13" s="180"/>
      <c r="K13" s="144"/>
      <c r="L13" s="144"/>
      <c r="M13" s="144"/>
    </row>
    <row r="14" spans="1:23" s="143" customFormat="1" ht="15" customHeight="1" x14ac:dyDescent="0.3">
      <c r="A14" s="499" t="str">
        <f>' ORÇAMENTO'!A14:D14</f>
        <v>Leonardo Menezes de Sá</v>
      </c>
      <c r="B14" s="500"/>
      <c r="C14" s="500"/>
      <c r="D14" s="501"/>
      <c r="E14" s="503" t="s">
        <v>70</v>
      </c>
      <c r="F14" s="500"/>
      <c r="G14" s="501"/>
      <c r="H14" s="562"/>
      <c r="I14" s="563"/>
      <c r="J14" s="182"/>
      <c r="K14" s="144"/>
      <c r="L14" s="144"/>
      <c r="M14" s="144"/>
    </row>
    <row r="15" spans="1:23" s="143" customFormat="1" ht="15" customHeight="1" x14ac:dyDescent="0.3">
      <c r="A15" s="551"/>
      <c r="B15" s="552"/>
      <c r="C15" s="552"/>
      <c r="D15" s="552"/>
      <c r="E15" s="552"/>
      <c r="F15" s="552"/>
      <c r="G15" s="552"/>
      <c r="H15" s="552"/>
      <c r="I15" s="552"/>
      <c r="J15" s="183"/>
      <c r="K15" s="145"/>
      <c r="L15" s="145"/>
      <c r="M15" s="145"/>
      <c r="P15" s="146"/>
    </row>
    <row r="16" spans="1:23" s="19" customFormat="1" ht="13.2" x14ac:dyDescent="0.25">
      <c r="A16" s="568" t="s">
        <v>0</v>
      </c>
      <c r="B16" s="566" t="s">
        <v>31</v>
      </c>
      <c r="C16" s="567" t="s">
        <v>13</v>
      </c>
      <c r="D16" s="567" t="s">
        <v>1</v>
      </c>
      <c r="E16" s="567" t="s">
        <v>25</v>
      </c>
      <c r="F16" s="567" t="s">
        <v>26</v>
      </c>
      <c r="G16" s="567"/>
      <c r="H16" s="567"/>
      <c r="I16" s="567"/>
      <c r="J16" s="571"/>
      <c r="K16" s="564" t="s">
        <v>27</v>
      </c>
      <c r="L16" s="565"/>
      <c r="M16" s="565"/>
      <c r="N16" s="13"/>
      <c r="O16" s="17"/>
      <c r="P16" s="18"/>
      <c r="Q16" s="18"/>
      <c r="R16" s="18"/>
      <c r="S16" s="18"/>
      <c r="T16" s="18"/>
      <c r="U16" s="18"/>
      <c r="V16" s="18"/>
      <c r="W16" s="18"/>
    </row>
    <row r="17" spans="1:23" s="19" customFormat="1" ht="13.2" x14ac:dyDescent="0.25">
      <c r="A17" s="569"/>
      <c r="B17" s="567"/>
      <c r="C17" s="570"/>
      <c r="D17" s="570"/>
      <c r="E17" s="570"/>
      <c r="F17" s="570"/>
      <c r="G17" s="570"/>
      <c r="H17" s="570"/>
      <c r="I17" s="570"/>
      <c r="J17" s="572"/>
      <c r="K17" s="564"/>
      <c r="L17" s="565"/>
      <c r="M17" s="565"/>
      <c r="N17" s="13"/>
      <c r="O17" s="18"/>
      <c r="P17" s="18"/>
      <c r="Q17" s="18"/>
      <c r="R17" s="18"/>
      <c r="S17" s="18"/>
      <c r="T17" s="18"/>
      <c r="U17" s="18"/>
      <c r="V17" s="18"/>
      <c r="W17" s="18"/>
    </row>
    <row r="18" spans="1:23" s="13" customFormat="1" ht="13.2" x14ac:dyDescent="0.25">
      <c r="A18" s="184"/>
      <c r="B18" s="111"/>
      <c r="C18" s="111"/>
      <c r="D18" s="111"/>
      <c r="E18" s="111"/>
      <c r="F18" s="110" t="s">
        <v>2</v>
      </c>
      <c r="G18" s="113" t="s">
        <v>28</v>
      </c>
      <c r="H18" s="113" t="s">
        <v>29</v>
      </c>
      <c r="I18" s="113" t="s">
        <v>3</v>
      </c>
      <c r="J18" s="112" t="s">
        <v>4</v>
      </c>
      <c r="K18" s="106" t="s">
        <v>15</v>
      </c>
      <c r="L18" s="20" t="s">
        <v>30</v>
      </c>
      <c r="M18" s="20" t="s">
        <v>4</v>
      </c>
      <c r="O18" s="14"/>
      <c r="P18" s="14"/>
      <c r="Q18" s="14"/>
      <c r="R18" s="14"/>
      <c r="S18" s="14"/>
      <c r="T18" s="14"/>
      <c r="U18" s="14"/>
      <c r="V18" s="14"/>
      <c r="W18" s="14"/>
    </row>
    <row r="19" spans="1:23" s="16" customFormat="1" x14ac:dyDescent="0.25">
      <c r="A19" s="65" t="s">
        <v>5</v>
      </c>
      <c r="B19" s="66"/>
      <c r="C19" s="67"/>
      <c r="D19" s="77" t="s">
        <v>6</v>
      </c>
      <c r="E19" s="66"/>
      <c r="F19" s="68"/>
      <c r="G19" s="68"/>
      <c r="H19" s="68"/>
      <c r="I19" s="97"/>
      <c r="J19" s="69"/>
      <c r="K19" s="178"/>
      <c r="L19" s="15"/>
      <c r="M19" s="15" t="e">
        <f>SUM(#REF!)</f>
        <v>#REF!</v>
      </c>
      <c r="O19" s="388"/>
    </row>
    <row r="20" spans="1:23" x14ac:dyDescent="0.25">
      <c r="A20" s="75" t="s">
        <v>7</v>
      </c>
      <c r="B20" s="70" t="s">
        <v>24</v>
      </c>
      <c r="C20" s="71" t="str">
        <f>' ORÇAMENTO'!C21</f>
        <v xml:space="preserve"> 74209/001</v>
      </c>
      <c r="D20" s="72" t="str">
        <f>' ORÇAMENTO'!D21</f>
        <v xml:space="preserve">PLACA DE OBRA EM CHAPA DE ACO GALVANIZADO </v>
      </c>
      <c r="E20" s="70" t="s">
        <v>8</v>
      </c>
      <c r="F20" s="73"/>
      <c r="G20" s="73"/>
      <c r="H20" s="73"/>
      <c r="I20" s="98"/>
      <c r="J20" s="74"/>
      <c r="K20" s="179"/>
      <c r="L20" s="5"/>
      <c r="M20" s="5"/>
      <c r="O20" s="270"/>
    </row>
    <row r="21" spans="1:23" x14ac:dyDescent="0.25">
      <c r="A21" s="75"/>
      <c r="B21" s="70"/>
      <c r="C21" s="71"/>
      <c r="D21" s="72"/>
      <c r="E21" s="70"/>
      <c r="F21" s="73">
        <v>1</v>
      </c>
      <c r="G21" s="73">
        <v>2</v>
      </c>
      <c r="H21" s="73">
        <v>1.25</v>
      </c>
      <c r="I21" s="98"/>
      <c r="J21" s="74">
        <f>ROUND(PRODUCT(F21:I21),2)</f>
        <v>2.5</v>
      </c>
      <c r="K21" s="179"/>
      <c r="L21" s="5"/>
      <c r="M21" s="5"/>
      <c r="O21" s="270"/>
    </row>
    <row r="22" spans="1:23" s="21" customFormat="1" ht="15" customHeight="1" x14ac:dyDescent="0.25">
      <c r="A22" s="186"/>
      <c r="B22" s="187"/>
      <c r="C22" s="188"/>
      <c r="D22" s="189"/>
      <c r="E22" s="187"/>
      <c r="F22" s="190"/>
      <c r="G22" s="190"/>
      <c r="H22" s="190"/>
      <c r="I22" s="191" t="s">
        <v>4</v>
      </c>
      <c r="J22" s="192">
        <f>J21</f>
        <v>2.5</v>
      </c>
      <c r="K22" s="178"/>
      <c r="L22" s="15"/>
      <c r="M22" s="15"/>
      <c r="O22" s="388"/>
    </row>
    <row r="23" spans="1:23" s="21" customFormat="1" ht="21.6" x14ac:dyDescent="0.25">
      <c r="A23" s="75" t="s">
        <v>155</v>
      </c>
      <c r="B23" s="70" t="s">
        <v>24</v>
      </c>
      <c r="C23" s="71">
        <v>85423</v>
      </c>
      <c r="D23" s="72" t="str">
        <f>' ORÇAMENTO'!D22</f>
        <v>ISOLAMENTO DE OBRA COM TELA PLASTICA COM MALHA DE 5MM</v>
      </c>
      <c r="E23" s="70" t="s">
        <v>8</v>
      </c>
      <c r="F23" s="73"/>
      <c r="G23" s="73"/>
      <c r="H23" s="73"/>
      <c r="I23" s="98"/>
      <c r="J23" s="74"/>
      <c r="K23" s="178"/>
      <c r="L23" s="15"/>
      <c r="M23" s="15"/>
      <c r="O23" s="388"/>
    </row>
    <row r="24" spans="1:23" s="21" customFormat="1" ht="15" customHeight="1" x14ac:dyDescent="0.25">
      <c r="A24" s="75"/>
      <c r="B24" s="70"/>
      <c r="C24" s="71"/>
      <c r="D24" s="193" t="s">
        <v>156</v>
      </c>
      <c r="E24" s="70"/>
      <c r="F24" s="73">
        <v>1</v>
      </c>
      <c r="G24" s="73">
        <f>99.5*2+33.1+5.2*2</f>
        <v>242.5</v>
      </c>
      <c r="H24" s="73"/>
      <c r="I24" s="98">
        <v>1</v>
      </c>
      <c r="J24" s="74">
        <f>ROUND(PRODUCT(F24:I24),2)</f>
        <v>242.5</v>
      </c>
      <c r="K24" s="178"/>
      <c r="L24" s="15"/>
      <c r="M24" s="15"/>
      <c r="O24" s="388"/>
    </row>
    <row r="25" spans="1:23" s="21" customFormat="1" ht="15" customHeight="1" x14ac:dyDescent="0.25">
      <c r="A25" s="186"/>
      <c r="B25" s="187"/>
      <c r="C25" s="188"/>
      <c r="D25" s="189"/>
      <c r="E25" s="187"/>
      <c r="F25" s="190"/>
      <c r="G25" s="190"/>
      <c r="H25" s="190"/>
      <c r="I25" s="191" t="s">
        <v>4</v>
      </c>
      <c r="J25" s="192">
        <f>J24</f>
        <v>242.5</v>
      </c>
      <c r="K25" s="178"/>
      <c r="L25" s="15"/>
      <c r="M25" s="15"/>
      <c r="O25" s="388"/>
    </row>
    <row r="26" spans="1:23" s="21" customFormat="1" ht="32.4" x14ac:dyDescent="0.25">
      <c r="A26" s="75" t="s">
        <v>163</v>
      </c>
      <c r="B26" s="70" t="s">
        <v>24</v>
      </c>
      <c r="C26" s="71">
        <f>' ORÇAMENTO'!C23</f>
        <v>93584</v>
      </c>
      <c r="D26" s="72" t="str">
        <f>' ORÇAMENTO'!D23</f>
        <v>EXECUÇÃO DE DEPÓSITO EM CANTEIRO DE OBRA EM CHAPA DE MADEIRA COMPENSADA, NÃO INCLUSO MOBILIÁRIO.</v>
      </c>
      <c r="E26" s="70" t="s">
        <v>8</v>
      </c>
      <c r="F26" s="73"/>
      <c r="G26" s="73"/>
      <c r="H26" s="73"/>
      <c r="I26" s="98"/>
      <c r="J26" s="74"/>
      <c r="K26" s="178"/>
      <c r="L26" s="15"/>
      <c r="M26" s="15"/>
      <c r="O26" s="388"/>
    </row>
    <row r="27" spans="1:23" s="21" customFormat="1" ht="15" customHeight="1" x14ac:dyDescent="0.25">
      <c r="A27" s="75"/>
      <c r="B27" s="70"/>
      <c r="C27" s="71"/>
      <c r="D27" s="193" t="s">
        <v>165</v>
      </c>
      <c r="E27" s="70"/>
      <c r="F27" s="73">
        <v>1</v>
      </c>
      <c r="G27" s="73">
        <v>4</v>
      </c>
      <c r="H27" s="73">
        <v>3</v>
      </c>
      <c r="I27" s="98"/>
      <c r="J27" s="74">
        <f>ROUND(PRODUCT(F27:I27),2)</f>
        <v>12</v>
      </c>
      <c r="K27" s="178"/>
      <c r="L27" s="15"/>
      <c r="M27" s="15"/>
      <c r="O27" s="388"/>
    </row>
    <row r="28" spans="1:23" s="21" customFormat="1" ht="15" customHeight="1" x14ac:dyDescent="0.25">
      <c r="A28" s="186"/>
      <c r="B28" s="187"/>
      <c r="C28" s="188"/>
      <c r="D28" s="189"/>
      <c r="E28" s="187"/>
      <c r="F28" s="190"/>
      <c r="G28" s="190"/>
      <c r="H28" s="190"/>
      <c r="I28" s="191" t="s">
        <v>4</v>
      </c>
      <c r="J28" s="192">
        <f>J27</f>
        <v>12</v>
      </c>
      <c r="K28" s="178"/>
      <c r="L28" s="15"/>
      <c r="M28" s="15"/>
      <c r="O28" s="388"/>
    </row>
    <row r="29" spans="1:23" s="21" customFormat="1" x14ac:dyDescent="0.25">
      <c r="A29" s="65" t="s">
        <v>9</v>
      </c>
      <c r="B29" s="66"/>
      <c r="C29" s="67"/>
      <c r="D29" s="103" t="str">
        <f>' ORÇAMENTO'!D25</f>
        <v>PISO DO PÁTIO DE EVENTOS</v>
      </c>
      <c r="E29" s="76"/>
      <c r="F29" s="78"/>
      <c r="G29" s="78"/>
      <c r="H29" s="78"/>
      <c r="I29" s="102"/>
      <c r="J29" s="185"/>
      <c r="K29" s="178"/>
      <c r="L29" s="15"/>
      <c r="M29" s="15">
        <f>SUM(M50:M53)</f>
        <v>0</v>
      </c>
      <c r="O29" s="388"/>
    </row>
    <row r="30" spans="1:23" s="21" customFormat="1" x14ac:dyDescent="0.25">
      <c r="A30" s="75"/>
      <c r="B30" s="70"/>
      <c r="C30" s="99"/>
      <c r="D30" s="100"/>
      <c r="E30" s="70"/>
      <c r="F30" s="73"/>
      <c r="G30" s="73"/>
      <c r="H30" s="73"/>
      <c r="I30" s="98"/>
      <c r="J30" s="74"/>
      <c r="K30" s="178"/>
      <c r="L30" s="15"/>
      <c r="M30" s="15"/>
      <c r="O30" s="388"/>
    </row>
    <row r="31" spans="1:23" s="21" customFormat="1" ht="32.4" x14ac:dyDescent="0.25">
      <c r="A31" s="75" t="s">
        <v>10</v>
      </c>
      <c r="B31" s="70" t="s">
        <v>24</v>
      </c>
      <c r="C31" s="71">
        <v>92970</v>
      </c>
      <c r="D31" s="72" t="s">
        <v>183</v>
      </c>
      <c r="E31" s="70" t="s">
        <v>8</v>
      </c>
      <c r="F31" s="73" t="s">
        <v>73</v>
      </c>
      <c r="G31" s="73" t="s">
        <v>75</v>
      </c>
      <c r="H31" s="73" t="s">
        <v>76</v>
      </c>
      <c r="I31" s="98"/>
      <c r="J31" s="74"/>
      <c r="K31" s="178"/>
      <c r="L31" s="15"/>
      <c r="M31" s="15"/>
      <c r="O31" s="388"/>
    </row>
    <row r="32" spans="1:23" s="21" customFormat="1" x14ac:dyDescent="0.25">
      <c r="A32" s="75"/>
      <c r="B32" s="70"/>
      <c r="C32" s="71"/>
      <c r="D32" s="193" t="s">
        <v>180</v>
      </c>
      <c r="E32" s="70"/>
      <c r="F32" s="73">
        <v>0.1</v>
      </c>
      <c r="G32" s="73">
        <v>87.64</v>
      </c>
      <c r="H32" s="73">
        <v>22.66</v>
      </c>
      <c r="I32" s="98"/>
      <c r="J32" s="74">
        <f>F32*G32*H32</f>
        <v>198.59224000000003</v>
      </c>
      <c r="K32" s="178"/>
      <c r="L32" s="15"/>
      <c r="M32" s="15"/>
      <c r="O32" s="388"/>
    </row>
    <row r="33" spans="1:15" s="21" customFormat="1" ht="12.6" x14ac:dyDescent="0.25">
      <c r="A33" s="186"/>
      <c r="B33" s="187"/>
      <c r="C33" s="188"/>
      <c r="D33" s="189"/>
      <c r="E33" s="187"/>
      <c r="F33" s="190"/>
      <c r="G33" s="190"/>
      <c r="H33" s="190"/>
      <c r="I33" s="191" t="s">
        <v>4</v>
      </c>
      <c r="J33" s="192">
        <f>J32</f>
        <v>198.59224000000003</v>
      </c>
      <c r="K33" s="178"/>
      <c r="L33" s="15"/>
      <c r="M33" s="15"/>
      <c r="O33" s="388"/>
    </row>
    <row r="34" spans="1:15" s="21" customFormat="1" x14ac:dyDescent="0.25">
      <c r="A34" s="75"/>
      <c r="B34" s="70"/>
      <c r="C34" s="99"/>
      <c r="D34" s="100"/>
      <c r="E34" s="70"/>
      <c r="F34" s="73"/>
      <c r="G34" s="73"/>
      <c r="H34" s="73"/>
      <c r="I34" s="98"/>
      <c r="J34" s="74"/>
      <c r="K34" s="178"/>
      <c r="L34" s="15"/>
      <c r="M34" s="15"/>
      <c r="O34" s="388"/>
    </row>
    <row r="35" spans="1:15" s="21" customFormat="1" ht="21.6" x14ac:dyDescent="0.25">
      <c r="A35" s="75" t="s">
        <v>37</v>
      </c>
      <c r="B35" s="70" t="s">
        <v>24</v>
      </c>
      <c r="C35" s="71">
        <v>92970</v>
      </c>
      <c r="D35" s="72" t="str">
        <f>' ORÇAMENTO'!D27</f>
        <v>CARGA E DESCARGA MECANIZADAS DE ENTULHO EM CAMINHAO BASCULANTE 6 M3</v>
      </c>
      <c r="E35" s="70" t="s">
        <v>8</v>
      </c>
      <c r="F35" s="73" t="s">
        <v>73</v>
      </c>
      <c r="G35" s="73" t="s">
        <v>75</v>
      </c>
      <c r="H35" s="73" t="s">
        <v>76</v>
      </c>
      <c r="I35" s="98" t="s">
        <v>189</v>
      </c>
      <c r="J35" s="74"/>
      <c r="K35" s="178"/>
      <c r="L35" s="15"/>
      <c r="M35" s="15"/>
      <c r="O35" s="388"/>
    </row>
    <row r="36" spans="1:15" s="21" customFormat="1" x14ac:dyDescent="0.25">
      <c r="A36" s="75"/>
      <c r="B36" s="70"/>
      <c r="C36" s="71"/>
      <c r="D36" s="193" t="s">
        <v>180</v>
      </c>
      <c r="E36" s="70"/>
      <c r="F36" s="73">
        <v>0.1</v>
      </c>
      <c r="G36" s="73">
        <v>87.64</v>
      </c>
      <c r="H36" s="73">
        <v>22.66</v>
      </c>
      <c r="I36" s="98">
        <v>0.1</v>
      </c>
      <c r="J36" s="74">
        <f>F36*G36*H36*I36</f>
        <v>19.859224000000005</v>
      </c>
      <c r="K36" s="178"/>
      <c r="L36" s="15"/>
      <c r="M36" s="15"/>
      <c r="O36" s="388"/>
    </row>
    <row r="37" spans="1:15" s="21" customFormat="1" ht="12.6" x14ac:dyDescent="0.25">
      <c r="A37" s="186"/>
      <c r="B37" s="187"/>
      <c r="C37" s="188"/>
      <c r="D37" s="189"/>
      <c r="E37" s="187"/>
      <c r="F37" s="190"/>
      <c r="G37" s="190"/>
      <c r="H37" s="190"/>
      <c r="I37" s="191" t="s">
        <v>4</v>
      </c>
      <c r="J37" s="192">
        <f>J36</f>
        <v>19.859224000000005</v>
      </c>
      <c r="K37" s="178"/>
      <c r="L37" s="15"/>
      <c r="M37" s="15"/>
      <c r="O37" s="388"/>
    </row>
    <row r="38" spans="1:15" s="21" customFormat="1" ht="21.6" x14ac:dyDescent="0.25">
      <c r="A38" s="75" t="s">
        <v>181</v>
      </c>
      <c r="B38" s="70" t="s">
        <v>24</v>
      </c>
      <c r="C38" s="71">
        <v>92970</v>
      </c>
      <c r="D38" s="72" t="str">
        <f>' ORÇAMENTO'!D28</f>
        <v>TRANSPORTE DE ENTULHO COM CAMINHAO BASCULANTE 6 M3, RODOVIA PAVIMENTADA, DMT 0,5 A 1,0 KM</v>
      </c>
      <c r="E38" s="70" t="s">
        <v>8</v>
      </c>
      <c r="F38" s="73" t="s">
        <v>73</v>
      </c>
      <c r="G38" s="73" t="s">
        <v>75</v>
      </c>
      <c r="H38" s="73" t="s">
        <v>76</v>
      </c>
      <c r="I38" s="98" t="s">
        <v>189</v>
      </c>
      <c r="J38" s="74"/>
      <c r="K38" s="178"/>
      <c r="L38" s="15"/>
      <c r="M38" s="15"/>
      <c r="O38" s="388"/>
    </row>
    <row r="39" spans="1:15" s="21" customFormat="1" x14ac:dyDescent="0.25">
      <c r="A39" s="75"/>
      <c r="B39" s="70"/>
      <c r="C39" s="71"/>
      <c r="D39" s="193" t="s">
        <v>180</v>
      </c>
      <c r="E39" s="70"/>
      <c r="F39" s="73">
        <v>0.1</v>
      </c>
      <c r="G39" s="73">
        <v>87.64</v>
      </c>
      <c r="H39" s="73">
        <v>22.66</v>
      </c>
      <c r="I39" s="98">
        <v>0.1</v>
      </c>
      <c r="J39" s="74">
        <f>F39*G39*H39*I39</f>
        <v>19.859224000000005</v>
      </c>
      <c r="K39" s="178"/>
      <c r="L39" s="15"/>
      <c r="M39" s="15"/>
      <c r="O39" s="388"/>
    </row>
    <row r="40" spans="1:15" s="21" customFormat="1" ht="12.6" x14ac:dyDescent="0.25">
      <c r="A40" s="186"/>
      <c r="B40" s="187"/>
      <c r="C40" s="188"/>
      <c r="D40" s="189"/>
      <c r="E40" s="187"/>
      <c r="F40" s="190"/>
      <c r="G40" s="190"/>
      <c r="H40" s="190"/>
      <c r="I40" s="191" t="s">
        <v>4</v>
      </c>
      <c r="J40" s="192">
        <f>J39</f>
        <v>19.859224000000005</v>
      </c>
      <c r="K40" s="178"/>
      <c r="L40" s="15"/>
      <c r="M40" s="15"/>
      <c r="O40" s="388"/>
    </row>
    <row r="41" spans="1:15" s="21" customFormat="1" x14ac:dyDescent="0.25">
      <c r="A41" s="75"/>
      <c r="B41" s="70"/>
      <c r="C41" s="99"/>
      <c r="D41" s="100"/>
      <c r="E41" s="70"/>
      <c r="F41" s="73"/>
      <c r="G41" s="73"/>
      <c r="H41" s="73"/>
      <c r="I41" s="98"/>
      <c r="J41" s="74"/>
      <c r="K41" s="178"/>
      <c r="L41" s="15"/>
      <c r="M41" s="15"/>
      <c r="O41" s="388"/>
    </row>
    <row r="42" spans="1:15" s="21" customFormat="1" ht="21.6" x14ac:dyDescent="0.25">
      <c r="A42" s="75" t="s">
        <v>184</v>
      </c>
      <c r="B42" s="70" t="s">
        <v>24</v>
      </c>
      <c r="C42" s="71">
        <f>' ORÇAMENTO'!C29</f>
        <v>68333</v>
      </c>
      <c r="D42" s="72" t="str">
        <f>' ORÇAMENTO'!D29</f>
        <v>PISO EM CONCRETO 20 MPA PREPARO MECANICO, ESPESSURA 7CM, INCLUSO JUNTAS DE DILATACAO</v>
      </c>
      <c r="E42" s="70" t="s">
        <v>8</v>
      </c>
      <c r="F42" s="73" t="s">
        <v>73</v>
      </c>
      <c r="G42" s="73" t="s">
        <v>75</v>
      </c>
      <c r="H42" s="73" t="s">
        <v>76</v>
      </c>
      <c r="I42" s="98"/>
      <c r="J42" s="74"/>
      <c r="K42" s="178"/>
      <c r="L42" s="15"/>
      <c r="M42" s="15"/>
      <c r="O42" s="388"/>
    </row>
    <row r="43" spans="1:15" s="21" customFormat="1" x14ac:dyDescent="0.25">
      <c r="A43" s="75"/>
      <c r="B43" s="70"/>
      <c r="C43" s="71"/>
      <c r="D43" s="193" t="s">
        <v>102</v>
      </c>
      <c r="E43" s="70"/>
      <c r="F43" s="73">
        <v>1</v>
      </c>
      <c r="G43" s="73">
        <v>87.64</v>
      </c>
      <c r="H43" s="73">
        <v>22.66</v>
      </c>
      <c r="I43" s="98"/>
      <c r="J43" s="74">
        <f>F43*G43*H43</f>
        <v>1985.9223999999999</v>
      </c>
      <c r="K43" s="178"/>
      <c r="L43" s="15"/>
      <c r="M43" s="15"/>
      <c r="O43" s="388"/>
    </row>
    <row r="44" spans="1:15" s="21" customFormat="1" ht="15" customHeight="1" x14ac:dyDescent="0.25">
      <c r="A44" s="186"/>
      <c r="B44" s="187"/>
      <c r="C44" s="188"/>
      <c r="D44" s="189"/>
      <c r="E44" s="187"/>
      <c r="F44" s="190"/>
      <c r="G44" s="190"/>
      <c r="H44" s="190"/>
      <c r="I44" s="191" t="s">
        <v>4</v>
      </c>
      <c r="J44" s="192">
        <f>SUM(J43:J43)</f>
        <v>1985.9223999999999</v>
      </c>
      <c r="K44" s="178"/>
      <c r="L44" s="15"/>
      <c r="M44" s="15"/>
      <c r="O44" s="388"/>
    </row>
    <row r="45" spans="1:15" s="21" customFormat="1" x14ac:dyDescent="0.25">
      <c r="A45" s="75"/>
      <c r="B45" s="70"/>
      <c r="C45" s="99"/>
      <c r="D45" s="100"/>
      <c r="E45" s="70"/>
      <c r="F45" s="73"/>
      <c r="G45" s="73"/>
      <c r="H45" s="73"/>
      <c r="I45" s="98"/>
      <c r="J45" s="74"/>
      <c r="K45" s="178"/>
      <c r="L45" s="15"/>
      <c r="M45" s="15"/>
      <c r="O45" s="388"/>
    </row>
    <row r="46" spans="1:15" s="21" customFormat="1" ht="21.6" x14ac:dyDescent="0.25">
      <c r="A46" s="75" t="s">
        <v>185</v>
      </c>
      <c r="B46" s="70" t="str">
        <f>' ORÇAMENTO'!B30</f>
        <v>ORSE</v>
      </c>
      <c r="C46" s="70">
        <f>' ORÇAMENTO'!C30</f>
        <v>3641</v>
      </c>
      <c r="D46" s="72" t="str">
        <f>' ORÇAMENTO'!D30</f>
        <v>ACABAMENTO DE SUPERFÍCIE DE PISO DE CONCRETO COM POLIMENTO MECÂNICO COM ACABADORA SIMPLES</v>
      </c>
      <c r="E46" s="70" t="s">
        <v>8</v>
      </c>
      <c r="F46" s="73" t="s">
        <v>73</v>
      </c>
      <c r="G46" s="73" t="s">
        <v>75</v>
      </c>
      <c r="H46" s="73" t="s">
        <v>76</v>
      </c>
      <c r="I46" s="98"/>
      <c r="J46" s="74"/>
      <c r="K46" s="178"/>
      <c r="L46" s="15"/>
      <c r="M46" s="15"/>
      <c r="O46" s="388"/>
    </row>
    <row r="47" spans="1:15" s="21" customFormat="1" x14ac:dyDescent="0.25">
      <c r="A47" s="75"/>
      <c r="B47" s="70"/>
      <c r="C47" s="71"/>
      <c r="D47" s="193" t="s">
        <v>178</v>
      </c>
      <c r="E47" s="70"/>
      <c r="F47" s="73">
        <v>1</v>
      </c>
      <c r="G47" s="73">
        <v>87.64</v>
      </c>
      <c r="H47" s="73">
        <v>22.66</v>
      </c>
      <c r="I47" s="98"/>
      <c r="J47" s="74">
        <f>PRODUCT(F47:I47)</f>
        <v>1985.9223999999999</v>
      </c>
      <c r="K47" s="178"/>
      <c r="L47" s="15"/>
      <c r="M47" s="15"/>
      <c r="O47" s="388"/>
    </row>
    <row r="48" spans="1:15" s="21" customFormat="1" ht="15" customHeight="1" x14ac:dyDescent="0.25">
      <c r="A48" s="186"/>
      <c r="B48" s="187"/>
      <c r="C48" s="188"/>
      <c r="D48" s="189"/>
      <c r="E48" s="187"/>
      <c r="F48" s="190"/>
      <c r="G48" s="190"/>
      <c r="H48" s="190"/>
      <c r="I48" s="191" t="s">
        <v>4</v>
      </c>
      <c r="J48" s="192">
        <f>SUM(J47:J47)</f>
        <v>1985.9223999999999</v>
      </c>
      <c r="K48" s="178"/>
      <c r="L48" s="15"/>
      <c r="M48" s="15"/>
      <c r="O48" s="388"/>
    </row>
    <row r="49" spans="1:15" s="21" customFormat="1" x14ac:dyDescent="0.25">
      <c r="A49" s="75"/>
      <c r="B49" s="70"/>
      <c r="C49" s="71"/>
      <c r="D49" s="101"/>
      <c r="E49" s="70"/>
      <c r="F49" s="73"/>
      <c r="G49" s="73"/>
      <c r="H49" s="73"/>
      <c r="I49" s="98"/>
      <c r="J49" s="74"/>
      <c r="K49" s="178"/>
      <c r="L49" s="15"/>
      <c r="M49" s="15"/>
      <c r="O49" s="388"/>
    </row>
    <row r="50" spans="1:15" s="7" customFormat="1" ht="43.2" x14ac:dyDescent="0.25">
      <c r="A50" s="75" t="s">
        <v>190</v>
      </c>
      <c r="B50" s="549" t="str">
        <f>' ORÇAMENTO'!B31:C31</f>
        <v>COMPOSIÇÃO 01</v>
      </c>
      <c r="C50" s="550"/>
      <c r="D50" s="79" t="str">
        <f>' ORÇAMENTO'!D31</f>
        <v>PISO TATIL DIRECIONAL E/OU ALERTA, DE CONCRETO, NA COR NATURAL, P/DEFICIENTES VISUAIS, DIMENSÕES 25X25CM, APLICADO COM ARGAMASSA INDUSTRIALIZADA AC-II, REJUNTADO, EXCLUSIVE REGULARIZAÇÃO DE BASE</v>
      </c>
      <c r="E50" s="70" t="s">
        <v>8</v>
      </c>
      <c r="F50" s="73" t="s">
        <v>73</v>
      </c>
      <c r="G50" s="73" t="s">
        <v>75</v>
      </c>
      <c r="H50" s="73" t="s">
        <v>76</v>
      </c>
      <c r="I50" s="73"/>
      <c r="J50" s="74"/>
      <c r="K50" s="179"/>
      <c r="L50" s="5"/>
      <c r="M50" s="5"/>
      <c r="O50" s="270"/>
    </row>
    <row r="51" spans="1:15" s="7" customFormat="1" x14ac:dyDescent="0.25">
      <c r="A51" s="75"/>
      <c r="B51" s="70"/>
      <c r="C51" s="71"/>
      <c r="D51" s="80" t="s">
        <v>103</v>
      </c>
      <c r="E51" s="70"/>
      <c r="F51" s="73">
        <v>1</v>
      </c>
      <c r="G51" s="73">
        <v>250.5</v>
      </c>
      <c r="H51" s="73">
        <v>0.25</v>
      </c>
      <c r="I51" s="98"/>
      <c r="J51" s="74">
        <f>PRODUCT(F51:I51)</f>
        <v>62.625</v>
      </c>
      <c r="K51" s="179"/>
      <c r="L51" s="5"/>
      <c r="M51" s="5"/>
      <c r="O51" s="270"/>
    </row>
    <row r="52" spans="1:15" s="21" customFormat="1" ht="15" customHeight="1" x14ac:dyDescent="0.25">
      <c r="A52" s="186"/>
      <c r="B52" s="187"/>
      <c r="C52" s="188"/>
      <c r="D52" s="189"/>
      <c r="E52" s="187"/>
      <c r="F52" s="190"/>
      <c r="G52" s="190"/>
      <c r="H52" s="190"/>
      <c r="I52" s="191" t="s">
        <v>4</v>
      </c>
      <c r="J52" s="192">
        <f>J51</f>
        <v>62.625</v>
      </c>
      <c r="K52" s="178"/>
      <c r="L52" s="15"/>
      <c r="M52" s="15"/>
      <c r="O52" s="388"/>
    </row>
    <row r="53" spans="1:15" s="7" customFormat="1" x14ac:dyDescent="0.25">
      <c r="A53" s="75"/>
      <c r="B53" s="70"/>
      <c r="C53" s="71"/>
      <c r="D53" s="79"/>
      <c r="E53" s="70"/>
      <c r="F53" s="73"/>
      <c r="G53" s="73"/>
      <c r="H53" s="73"/>
      <c r="I53" s="104"/>
      <c r="J53" s="74"/>
      <c r="K53" s="179"/>
      <c r="L53" s="5"/>
      <c r="M53" s="5"/>
      <c r="O53" s="270"/>
    </row>
    <row r="54" spans="1:15" s="21" customFormat="1" x14ac:dyDescent="0.25">
      <c r="A54" s="65" t="s">
        <v>11</v>
      </c>
      <c r="B54" s="66"/>
      <c r="C54" s="67"/>
      <c r="D54" s="77" t="str">
        <f>' ORÇAMENTO'!D33</f>
        <v>CALÇADA</v>
      </c>
      <c r="E54" s="76"/>
      <c r="F54" s="78"/>
      <c r="G54" s="78"/>
      <c r="H54" s="78"/>
      <c r="I54" s="102"/>
      <c r="J54" s="185"/>
      <c r="K54" s="178"/>
      <c r="L54" s="15"/>
      <c r="M54" s="15" t="e">
        <f>SUM(M59:M66)</f>
        <v>#REF!</v>
      </c>
      <c r="O54" s="388"/>
    </row>
    <row r="55" spans="1:15" ht="21.6" x14ac:dyDescent="0.25">
      <c r="A55" s="75" t="s">
        <v>12</v>
      </c>
      <c r="B55" s="70" t="s">
        <v>24</v>
      </c>
      <c r="C55" s="169">
        <f>' ORÇAMENTO'!C34</f>
        <v>85366</v>
      </c>
      <c r="D55" s="81" t="str">
        <f>' ORÇAMENTO'!D34</f>
        <v>DEMOLICAO MANUAL DE PAVIMENTACAO EM CONCRETO ASFALTICO, ESPESSURA 5CM</v>
      </c>
      <c r="E55" s="70" t="s">
        <v>8</v>
      </c>
      <c r="F55" s="73" t="s">
        <v>73</v>
      </c>
      <c r="G55" s="73" t="s">
        <v>75</v>
      </c>
      <c r="H55" s="73" t="s">
        <v>76</v>
      </c>
      <c r="I55" s="73"/>
      <c r="J55" s="74" t="s">
        <v>74</v>
      </c>
      <c r="K55" s="179" t="e">
        <f>#REF!</f>
        <v>#REF!</v>
      </c>
      <c r="L55" s="5">
        <f>ROUND(O55*(1+$O$7),2)</f>
        <v>0</v>
      </c>
      <c r="M55" s="5" t="e">
        <f>TRUNC(K55*L55,2)</f>
        <v>#REF!</v>
      </c>
      <c r="O55" s="389"/>
    </row>
    <row r="56" spans="1:15" x14ac:dyDescent="0.25">
      <c r="A56" s="75"/>
      <c r="B56" s="70"/>
      <c r="C56" s="169"/>
      <c r="D56" s="194" t="s">
        <v>104</v>
      </c>
      <c r="E56" s="70"/>
      <c r="F56" s="73">
        <v>1</v>
      </c>
      <c r="G56" s="73">
        <v>33.11</v>
      </c>
      <c r="H56" s="73">
        <v>11.24</v>
      </c>
      <c r="I56" s="98"/>
      <c r="J56" s="74">
        <f t="shared" ref="J56" si="0">F56*G56*H56</f>
        <v>372.15640000000002</v>
      </c>
      <c r="K56" s="179"/>
      <c r="L56" s="5"/>
      <c r="M56" s="5"/>
      <c r="O56" s="389">
        <f>20*0.4</f>
        <v>8</v>
      </c>
    </row>
    <row r="57" spans="1:15" x14ac:dyDescent="0.25">
      <c r="A57" s="75"/>
      <c r="B57" s="70"/>
      <c r="C57" s="169"/>
      <c r="D57" s="194" t="s">
        <v>158</v>
      </c>
      <c r="E57" s="70"/>
      <c r="F57" s="73">
        <v>-1</v>
      </c>
      <c r="G57" s="73"/>
      <c r="H57" s="73"/>
      <c r="I57" s="98">
        <f>SUM(J61:J64)</f>
        <v>110.82300000000001</v>
      </c>
      <c r="J57" s="74">
        <f>F57*I57</f>
        <v>-110.82300000000001</v>
      </c>
      <c r="K57" s="179"/>
      <c r="L57" s="5"/>
      <c r="M57" s="5"/>
      <c r="O57" s="389">
        <f>20*0.4</f>
        <v>8</v>
      </c>
    </row>
    <row r="58" spans="1:15" s="21" customFormat="1" ht="15" customHeight="1" x14ac:dyDescent="0.25">
      <c r="A58" s="186"/>
      <c r="B58" s="187"/>
      <c r="C58" s="188"/>
      <c r="D58" s="189"/>
      <c r="E58" s="187"/>
      <c r="F58" s="190"/>
      <c r="G58" s="190"/>
      <c r="H58" s="190"/>
      <c r="I58" s="191" t="s">
        <v>4</v>
      </c>
      <c r="J58" s="192">
        <f>SUM(J56:M57)</f>
        <v>261.33339999999998</v>
      </c>
      <c r="K58" s="178"/>
      <c r="L58" s="15"/>
      <c r="M58" s="15"/>
      <c r="O58" s="388"/>
    </row>
    <row r="59" spans="1:15" x14ac:dyDescent="0.25">
      <c r="A59" s="75" t="s">
        <v>72</v>
      </c>
      <c r="B59" s="549" t="str">
        <f>' ORÇAMENTO'!B35:C35</f>
        <v>COMPOSIÇÃO 02</v>
      </c>
      <c r="C59" s="550"/>
      <c r="D59" s="81" t="str">
        <f>' ORÇAMENTO'!D35</f>
        <v xml:space="preserve"> DEMOLICAO DE PISO EM LAJOTA</v>
      </c>
      <c r="E59" s="70" t="s">
        <v>8</v>
      </c>
      <c r="F59" s="73" t="s">
        <v>73</v>
      </c>
      <c r="G59" s="73" t="s">
        <v>75</v>
      </c>
      <c r="H59" s="73" t="s">
        <v>76</v>
      </c>
      <c r="I59" s="73"/>
      <c r="J59" s="74" t="s">
        <v>74</v>
      </c>
      <c r="K59" s="179" t="e">
        <f>#REF!</f>
        <v>#REF!</v>
      </c>
      <c r="L59" s="5">
        <f>ROUND(O59*(1+$O$7),2)</f>
        <v>0</v>
      </c>
      <c r="M59" s="5" t="e">
        <f>TRUNC(K59*L59,2)</f>
        <v>#REF!</v>
      </c>
      <c r="O59" s="389"/>
    </row>
    <row r="60" spans="1:15" x14ac:dyDescent="0.25">
      <c r="A60" s="75"/>
      <c r="B60" s="70"/>
      <c r="C60" s="169"/>
      <c r="D60" s="80" t="s">
        <v>105</v>
      </c>
      <c r="E60" s="70"/>
      <c r="F60" s="73">
        <v>1</v>
      </c>
      <c r="G60" s="73">
        <v>213.5</v>
      </c>
      <c r="H60" s="73">
        <v>0.25</v>
      </c>
      <c r="I60" s="98"/>
      <c r="J60" s="74">
        <f>F60*G60*H60</f>
        <v>53.375</v>
      </c>
      <c r="K60" s="179"/>
      <c r="L60" s="5"/>
      <c r="M60" s="5"/>
      <c r="O60" s="389"/>
    </row>
    <row r="61" spans="1:15" x14ac:dyDescent="0.25">
      <c r="A61" s="75"/>
      <c r="B61" s="70"/>
      <c r="C61" s="169"/>
      <c r="D61" s="194" t="s">
        <v>158</v>
      </c>
      <c r="E61" s="70"/>
      <c r="F61" s="73">
        <v>1</v>
      </c>
      <c r="G61" s="73">
        <v>5.2</v>
      </c>
      <c r="H61" s="73">
        <v>11.24</v>
      </c>
      <c r="I61" s="98"/>
      <c r="J61" s="74">
        <f t="shared" ref="J61:J62" si="1">F61*G61*H61</f>
        <v>58.448</v>
      </c>
      <c r="K61" s="179"/>
      <c r="L61" s="5"/>
      <c r="M61" s="5"/>
      <c r="O61" s="389"/>
    </row>
    <row r="62" spans="1:15" x14ac:dyDescent="0.25">
      <c r="A62" s="75"/>
      <c r="B62" s="70"/>
      <c r="C62" s="169"/>
      <c r="D62" s="194" t="s">
        <v>158</v>
      </c>
      <c r="E62" s="70"/>
      <c r="F62" s="73">
        <v>1</v>
      </c>
      <c r="G62" s="73">
        <v>5.25</v>
      </c>
      <c r="H62" s="73">
        <v>1.5</v>
      </c>
      <c r="I62" s="98"/>
      <c r="J62" s="74">
        <f t="shared" si="1"/>
        <v>7.875</v>
      </c>
      <c r="K62" s="179"/>
      <c r="L62" s="5"/>
      <c r="M62" s="5"/>
      <c r="O62" s="389"/>
    </row>
    <row r="63" spans="1:15" x14ac:dyDescent="0.25">
      <c r="A63" s="75"/>
      <c r="B63" s="70"/>
      <c r="C63" s="169"/>
      <c r="D63" s="194" t="s">
        <v>158</v>
      </c>
      <c r="E63" s="70"/>
      <c r="F63" s="73">
        <v>1</v>
      </c>
      <c r="G63" s="73">
        <f>(10+12)/2</f>
        <v>11</v>
      </c>
      <c r="H63" s="73">
        <v>4.5</v>
      </c>
      <c r="I63" s="98"/>
      <c r="J63" s="74">
        <f t="shared" ref="J63" si="2">F63*G63*H63</f>
        <v>49.5</v>
      </c>
      <c r="K63" s="179"/>
      <c r="L63" s="5"/>
      <c r="M63" s="5"/>
      <c r="O63" s="389">
        <f>J52+J76</f>
        <v>135.25</v>
      </c>
    </row>
    <row r="64" spans="1:15" x14ac:dyDescent="0.25">
      <c r="A64" s="75"/>
      <c r="B64" s="70"/>
      <c r="C64" s="169"/>
      <c r="D64" s="194" t="s">
        <v>158</v>
      </c>
      <c r="E64" s="70"/>
      <c r="F64" s="73">
        <v>-1</v>
      </c>
      <c r="G64" s="73">
        <v>2</v>
      </c>
      <c r="H64" s="73">
        <v>2.5</v>
      </c>
      <c r="I64" s="98"/>
      <c r="J64" s="74">
        <f t="shared" ref="J64" si="3">F64*G64*H64</f>
        <v>-5</v>
      </c>
      <c r="K64" s="179"/>
      <c r="L64" s="5"/>
      <c r="M64" s="5"/>
      <c r="O64" s="389"/>
    </row>
    <row r="65" spans="1:19" s="21" customFormat="1" ht="15" customHeight="1" x14ac:dyDescent="0.25">
      <c r="A65" s="186"/>
      <c r="B65" s="187"/>
      <c r="C65" s="188"/>
      <c r="D65" s="189"/>
      <c r="E65" s="187"/>
      <c r="F65" s="190"/>
      <c r="G65" s="190"/>
      <c r="H65" s="190"/>
      <c r="I65" s="191" t="s">
        <v>4</v>
      </c>
      <c r="J65" s="192">
        <f>SUM(J60:J64)</f>
        <v>164.19800000000001</v>
      </c>
      <c r="K65" s="178"/>
      <c r="L65" s="15"/>
      <c r="M65" s="15"/>
      <c r="O65" s="388"/>
    </row>
    <row r="66" spans="1:19" s="8" customFormat="1" ht="21.6" x14ac:dyDescent="0.25">
      <c r="A66" s="75" t="s">
        <v>96</v>
      </c>
      <c r="B66" s="70" t="s">
        <v>24</v>
      </c>
      <c r="C66" s="71">
        <f>' ORÇAMENTO'!C36</f>
        <v>72961</v>
      </c>
      <c r="D66" s="82" t="str">
        <f>' ORÇAMENTO'!D36</f>
        <v>REGULARIZACAO E COMPACTACAO DE SUBLEITO ATE 20 CM DE ESPESSURA</v>
      </c>
      <c r="E66" s="70" t="s">
        <v>8</v>
      </c>
      <c r="F66" s="73" t="s">
        <v>73</v>
      </c>
      <c r="G66" s="73" t="s">
        <v>75</v>
      </c>
      <c r="H66" s="73" t="s">
        <v>76</v>
      </c>
      <c r="I66" s="98"/>
      <c r="J66" s="74"/>
      <c r="K66" s="179"/>
      <c r="L66" s="5"/>
      <c r="M66" s="5"/>
      <c r="N66" s="7"/>
      <c r="O66" s="270"/>
      <c r="P66" s="7"/>
      <c r="Q66" s="7"/>
      <c r="R66" s="7"/>
      <c r="S66" s="7"/>
    </row>
    <row r="67" spans="1:19" s="8" customFormat="1" x14ac:dyDescent="0.25">
      <c r="A67" s="75"/>
      <c r="B67" s="70"/>
      <c r="C67" s="71"/>
      <c r="D67" s="101" t="str">
        <f>D60</f>
        <v>ÁREA DO PISO TÁTIL DE ALERTA DA CALÇADA LATERAL</v>
      </c>
      <c r="E67" s="105"/>
      <c r="F67" s="73">
        <v>1</v>
      </c>
      <c r="G67" s="73">
        <f>G60</f>
        <v>213.5</v>
      </c>
      <c r="H67" s="73">
        <f>H60</f>
        <v>0.25</v>
      </c>
      <c r="I67" s="98"/>
      <c r="J67" s="74">
        <f>PRODUCT(F67:H67)</f>
        <v>53.375</v>
      </c>
      <c r="K67" s="179"/>
      <c r="L67" s="5"/>
      <c r="M67" s="5"/>
      <c r="N67" s="7"/>
      <c r="O67" s="270"/>
      <c r="P67" s="7"/>
      <c r="Q67" s="7"/>
      <c r="R67" s="7"/>
      <c r="S67" s="7"/>
    </row>
    <row r="68" spans="1:19" s="8" customFormat="1" x14ac:dyDescent="0.25">
      <c r="A68" s="75"/>
      <c r="B68" s="70"/>
      <c r="C68" s="71"/>
      <c r="D68" s="101" t="str">
        <f>D64</f>
        <v>ÁREA DE LAJOTA DA CALÇADA E RAMPA FRONTAL</v>
      </c>
      <c r="E68" s="105"/>
      <c r="F68" s="73">
        <v>1</v>
      </c>
      <c r="G68" s="73">
        <f>G64</f>
        <v>2</v>
      </c>
      <c r="H68" s="73">
        <f>H64</f>
        <v>2.5</v>
      </c>
      <c r="I68" s="98"/>
      <c r="J68" s="74">
        <f>PRODUCT(F68:H68)</f>
        <v>5</v>
      </c>
      <c r="K68" s="179"/>
      <c r="L68" s="5"/>
      <c r="M68" s="5"/>
      <c r="N68" s="7"/>
      <c r="O68" s="270"/>
      <c r="P68" s="7"/>
      <c r="Q68" s="7"/>
      <c r="R68" s="7"/>
      <c r="S68" s="7"/>
    </row>
    <row r="69" spans="1:19" s="21" customFormat="1" ht="15" customHeight="1" x14ac:dyDescent="0.25">
      <c r="A69" s="186"/>
      <c r="B69" s="187"/>
      <c r="C69" s="188"/>
      <c r="D69" s="189"/>
      <c r="E69" s="187"/>
      <c r="F69" s="190"/>
      <c r="G69" s="190"/>
      <c r="H69" s="190"/>
      <c r="I69" s="191" t="s">
        <v>4</v>
      </c>
      <c r="J69" s="192">
        <f>SUM(J67:J68)</f>
        <v>58.375</v>
      </c>
      <c r="K69" s="178"/>
      <c r="L69" s="15"/>
      <c r="M69" s="15"/>
      <c r="O69" s="388"/>
    </row>
    <row r="70" spans="1:19" s="21" customFormat="1" ht="32.4" x14ac:dyDescent="0.25">
      <c r="A70" s="75" t="s">
        <v>97</v>
      </c>
      <c r="B70" s="70" t="s">
        <v>24</v>
      </c>
      <c r="C70" s="71">
        <f>' ORÇAMENTO'!C37</f>
        <v>92394</v>
      </c>
      <c r="D70" s="82" t="str">
        <f>' ORÇAMENTO'!D37</f>
        <v>EXECUÇÃO DE PAVIMENTO EM PISO INTERTRAVADO, COM BLOCO SEXTAVADO DE 25 X 25 CM, ESPESSURA 8 CM. AF_12/2015</v>
      </c>
      <c r="E70" s="70" t="s">
        <v>8</v>
      </c>
      <c r="F70" s="73" t="s">
        <v>73</v>
      </c>
      <c r="G70" s="73" t="s">
        <v>75</v>
      </c>
      <c r="H70" s="73" t="s">
        <v>76</v>
      </c>
      <c r="I70" s="98"/>
      <c r="J70" s="74"/>
      <c r="K70" s="178"/>
      <c r="L70" s="15"/>
      <c r="M70" s="15"/>
      <c r="O70" s="388"/>
    </row>
    <row r="71" spans="1:19" s="21" customFormat="1" ht="15" customHeight="1" x14ac:dyDescent="0.25">
      <c r="A71" s="75"/>
      <c r="B71" s="70"/>
      <c r="C71" s="71"/>
      <c r="D71" s="194" t="str">
        <f>D56</f>
        <v>ÁREA DA CALÇADA E RAMPA FRONTAL</v>
      </c>
      <c r="E71" s="105"/>
      <c r="F71" s="73">
        <v>1</v>
      </c>
      <c r="G71" s="73">
        <f>G56</f>
        <v>33.11</v>
      </c>
      <c r="H71" s="73">
        <f>H56</f>
        <v>11.24</v>
      </c>
      <c r="I71" s="98"/>
      <c r="J71" s="74">
        <f>PRODUCT(F71:H71)</f>
        <v>372.15640000000002</v>
      </c>
      <c r="K71" s="178"/>
      <c r="L71" s="15"/>
      <c r="M71" s="15"/>
      <c r="O71" s="388"/>
    </row>
    <row r="72" spans="1:19" s="21" customFormat="1" ht="15" customHeight="1" x14ac:dyDescent="0.25">
      <c r="A72" s="186"/>
      <c r="B72" s="187"/>
      <c r="C72" s="188"/>
      <c r="D72" s="189"/>
      <c r="E72" s="187"/>
      <c r="F72" s="190"/>
      <c r="G72" s="190"/>
      <c r="H72" s="190"/>
      <c r="I72" s="191" t="s">
        <v>4</v>
      </c>
      <c r="J72" s="192">
        <f>SUM(J71:J71)</f>
        <v>372.15640000000002</v>
      </c>
      <c r="K72" s="178"/>
      <c r="L72" s="15"/>
      <c r="M72" s="15"/>
      <c r="O72" s="388"/>
    </row>
    <row r="73" spans="1:19" s="21" customFormat="1" ht="43.2" x14ac:dyDescent="0.25">
      <c r="A73" s="75" t="s">
        <v>98</v>
      </c>
      <c r="B73" s="549" t="str">
        <f>' ORÇAMENTO'!B38:C38</f>
        <v>COMPOSIÇÃO 01</v>
      </c>
      <c r="C73" s="550"/>
      <c r="D73" s="82" t="str">
        <f>' ORÇAMENTO'!D38</f>
        <v>PISO TATIL DIRECIONAL E/OU ALERTA, DE CONCRETO, NA COR NATURAL, P/DEFICIENTES VISUAIS, DIMENSÕES 25X25CM, APLICADO COM ARGAMASSA INDUSTRIALIZADA AC-II, REJUNTADO, EXCLUSIVE REGULARIZAÇÃO DE BASE</v>
      </c>
      <c r="E73" s="70" t="s">
        <v>8</v>
      </c>
      <c r="F73" s="73" t="s">
        <v>73</v>
      </c>
      <c r="G73" s="73" t="s">
        <v>75</v>
      </c>
      <c r="H73" s="73" t="s">
        <v>76</v>
      </c>
      <c r="I73" s="98"/>
      <c r="J73" s="74"/>
      <c r="K73" s="178"/>
      <c r="L73" s="15"/>
      <c r="M73" s="15"/>
      <c r="O73" s="388"/>
    </row>
    <row r="74" spans="1:19" s="21" customFormat="1" ht="15" customHeight="1" x14ac:dyDescent="0.25">
      <c r="A74" s="75"/>
      <c r="B74" s="70"/>
      <c r="C74" s="71"/>
      <c r="D74" s="101" t="str">
        <f>D67</f>
        <v>ÁREA DO PISO TÁTIL DE ALERTA DA CALÇADA LATERAL</v>
      </c>
      <c r="E74" s="105"/>
      <c r="F74" s="73">
        <v>1</v>
      </c>
      <c r="G74" s="73">
        <f>G67</f>
        <v>213.5</v>
      </c>
      <c r="H74" s="73">
        <f>H67</f>
        <v>0.25</v>
      </c>
      <c r="I74" s="98"/>
      <c r="J74" s="74">
        <f>PRODUCT(F74:H74)</f>
        <v>53.375</v>
      </c>
      <c r="K74" s="178"/>
      <c r="L74" s="15"/>
      <c r="M74" s="15"/>
      <c r="O74" s="388"/>
    </row>
    <row r="75" spans="1:19" s="21" customFormat="1" ht="15" customHeight="1" x14ac:dyDescent="0.25">
      <c r="A75" s="75"/>
      <c r="B75" s="70"/>
      <c r="C75" s="71"/>
      <c r="D75" s="101" t="s">
        <v>107</v>
      </c>
      <c r="E75" s="105"/>
      <c r="F75" s="73">
        <v>1</v>
      </c>
      <c r="G75" s="73">
        <v>77</v>
      </c>
      <c r="H75" s="73">
        <v>0.25</v>
      </c>
      <c r="I75" s="98"/>
      <c r="J75" s="74">
        <f>PRODUCT(F75:H75)</f>
        <v>19.25</v>
      </c>
      <c r="K75" s="178"/>
      <c r="L75" s="15"/>
      <c r="M75" s="15"/>
      <c r="O75" s="388"/>
    </row>
    <row r="76" spans="1:19" s="21" customFormat="1" ht="15" customHeight="1" x14ac:dyDescent="0.25">
      <c r="A76" s="186"/>
      <c r="B76" s="187"/>
      <c r="C76" s="188"/>
      <c r="D76" s="189"/>
      <c r="E76" s="187"/>
      <c r="F76" s="190"/>
      <c r="G76" s="190"/>
      <c r="H76" s="190"/>
      <c r="I76" s="191" t="s">
        <v>4</v>
      </c>
      <c r="J76" s="192">
        <f>SUM(J74:J75)</f>
        <v>72.625</v>
      </c>
      <c r="K76" s="178"/>
      <c r="L76" s="15"/>
      <c r="M76" s="15"/>
      <c r="O76" s="388"/>
    </row>
    <row r="77" spans="1:19" s="21" customFormat="1" ht="15" customHeight="1" x14ac:dyDescent="0.25">
      <c r="A77" s="75" t="s">
        <v>159</v>
      </c>
      <c r="B77" s="289" t="str">
        <f>' ORÇAMENTO'!B39</f>
        <v>SINAPI</v>
      </c>
      <c r="C77" s="290" t="str">
        <f>' ORÇAMENTO'!C39</f>
        <v>73932/001</v>
      </c>
      <c r="D77" s="82" t="str">
        <f>' ORÇAMENTO'!D39</f>
        <v>GRADE DE FERRO EM BARRA CHATA 3/16" (CANALETA)</v>
      </c>
      <c r="E77" s="70" t="s">
        <v>8</v>
      </c>
      <c r="F77" s="73" t="s">
        <v>73</v>
      </c>
      <c r="G77" s="73" t="s">
        <v>75</v>
      </c>
      <c r="H77" s="73" t="s">
        <v>76</v>
      </c>
      <c r="I77" s="98"/>
      <c r="J77" s="74"/>
      <c r="K77" s="178"/>
      <c r="L77" s="15"/>
      <c r="M77" s="15"/>
      <c r="O77" s="388"/>
    </row>
    <row r="78" spans="1:19" s="21" customFormat="1" ht="15" customHeight="1" x14ac:dyDescent="0.25">
      <c r="A78" s="75"/>
      <c r="B78" s="70"/>
      <c r="C78" s="71"/>
      <c r="D78" s="101" t="s">
        <v>106</v>
      </c>
      <c r="E78" s="105"/>
      <c r="F78" s="73">
        <v>1</v>
      </c>
      <c r="G78" s="73">
        <v>101.82</v>
      </c>
      <c r="H78" s="73">
        <v>0.4</v>
      </c>
      <c r="I78" s="98"/>
      <c r="J78" s="74">
        <f>PRODUCT(F78:H78)</f>
        <v>40.728000000000002</v>
      </c>
      <c r="K78" s="178"/>
      <c r="L78" s="15"/>
      <c r="M78" s="15"/>
      <c r="O78" s="388"/>
    </row>
    <row r="79" spans="1:19" s="21" customFormat="1" ht="15" customHeight="1" thickBot="1" x14ac:dyDescent="0.3">
      <c r="A79" s="391"/>
      <c r="B79" s="392"/>
      <c r="C79" s="393"/>
      <c r="D79" s="394"/>
      <c r="E79" s="392"/>
      <c r="F79" s="395"/>
      <c r="G79" s="395"/>
      <c r="H79" s="395"/>
      <c r="I79" s="396" t="s">
        <v>4</v>
      </c>
      <c r="J79" s="397">
        <f>SUM(J78:J78)</f>
        <v>40.728000000000002</v>
      </c>
      <c r="K79" s="178"/>
      <c r="L79" s="15"/>
      <c r="M79" s="15"/>
      <c r="O79" s="388"/>
    </row>
    <row r="80" spans="1:19" s="21" customFormat="1" x14ac:dyDescent="0.25">
      <c r="A80" s="65" t="s">
        <v>166</v>
      </c>
      <c r="B80" s="66"/>
      <c r="C80" s="67"/>
      <c r="D80" s="77" t="s">
        <v>167</v>
      </c>
      <c r="E80" s="76"/>
      <c r="F80" s="78"/>
      <c r="G80" s="78"/>
      <c r="H80" s="78"/>
      <c r="I80" s="102"/>
      <c r="J80" s="185"/>
      <c r="K80" s="178"/>
      <c r="L80" s="15"/>
      <c r="M80" s="15" t="e">
        <f>SUM(M81:M125)</f>
        <v>#REF!</v>
      </c>
      <c r="O80" s="388"/>
    </row>
    <row r="81" spans="1:15" ht="27" customHeight="1" x14ac:dyDescent="0.25">
      <c r="A81" s="75" t="s">
        <v>168</v>
      </c>
      <c r="B81" s="70" t="s">
        <v>24</v>
      </c>
      <c r="C81" s="169">
        <f>' ORÇAMENTO'!C42</f>
        <v>88483</v>
      </c>
      <c r="D81" s="81" t="str">
        <f>' ORÇAMENTO'!D42</f>
        <v>APLICAÇÃO DE FUNDO SELADOR LÁTEX PVA EM PAREDES, UMA DEMÃO. AF_06/2014</v>
      </c>
      <c r="E81" s="70" t="s">
        <v>8</v>
      </c>
      <c r="F81" s="73" t="s">
        <v>73</v>
      </c>
      <c r="G81" s="73" t="s">
        <v>75</v>
      </c>
      <c r="H81" s="73" t="s">
        <v>170</v>
      </c>
      <c r="I81" s="73" t="s">
        <v>171</v>
      </c>
      <c r="J81" s="74" t="s">
        <v>74</v>
      </c>
      <c r="K81" s="179" t="e">
        <f>#REF!</f>
        <v>#REF!</v>
      </c>
      <c r="L81" s="5">
        <f>ROUND(O81*(1+$O$7),2)</f>
        <v>7.42</v>
      </c>
      <c r="M81" s="5" t="e">
        <f>TRUNC(K81*L81,2)</f>
        <v>#REF!</v>
      </c>
      <c r="O81" s="389">
        <v>7.42</v>
      </c>
    </row>
    <row r="82" spans="1:15" x14ac:dyDescent="0.25">
      <c r="A82" s="75"/>
      <c r="B82" s="70"/>
      <c r="C82" s="169"/>
      <c r="D82" s="80" t="s">
        <v>172</v>
      </c>
      <c r="E82" s="70"/>
      <c r="F82" s="73">
        <v>3.14</v>
      </c>
      <c r="G82" s="73">
        <f>2*0.53</f>
        <v>1.06</v>
      </c>
      <c r="H82" s="73">
        <v>1.75</v>
      </c>
      <c r="I82" s="98">
        <v>34</v>
      </c>
      <c r="J82" s="74">
        <f>PRODUCT(F82:I82)</f>
        <v>198.03980000000001</v>
      </c>
      <c r="K82" s="179"/>
      <c r="L82" s="5"/>
      <c r="M82" s="5"/>
      <c r="O82" s="389"/>
    </row>
    <row r="83" spans="1:15" x14ac:dyDescent="0.25">
      <c r="A83" s="75"/>
      <c r="B83" s="70"/>
      <c r="C83" s="169"/>
      <c r="D83" s="194" t="s">
        <v>173</v>
      </c>
      <c r="E83" s="70"/>
      <c r="F83" s="73"/>
      <c r="G83" s="73">
        <v>21</v>
      </c>
      <c r="H83" s="73">
        <v>1.75</v>
      </c>
      <c r="I83" s="98">
        <v>1</v>
      </c>
      <c r="J83" s="74">
        <f>PRODUCT(F83:I83)</f>
        <v>36.75</v>
      </c>
      <c r="K83" s="179"/>
      <c r="L83" s="5"/>
      <c r="M83" s="5"/>
      <c r="O83" s="389"/>
    </row>
    <row r="84" spans="1:15" x14ac:dyDescent="0.25">
      <c r="A84" s="75"/>
      <c r="B84" s="70"/>
      <c r="C84" s="169"/>
      <c r="D84" s="194"/>
      <c r="E84" s="70"/>
      <c r="F84" s="73"/>
      <c r="G84" s="73">
        <v>21.76</v>
      </c>
      <c r="H84" s="73">
        <v>0</v>
      </c>
      <c r="I84" s="98">
        <v>1</v>
      </c>
      <c r="J84" s="74">
        <f t="shared" ref="J84:J93" si="4">PRODUCT(F84:I84)</f>
        <v>0</v>
      </c>
      <c r="K84" s="179"/>
      <c r="L84" s="5"/>
      <c r="M84" s="5"/>
      <c r="O84" s="389"/>
    </row>
    <row r="85" spans="1:15" x14ac:dyDescent="0.25">
      <c r="A85" s="75"/>
      <c r="B85" s="70"/>
      <c r="C85" s="169"/>
      <c r="D85" s="194"/>
      <c r="E85" s="70"/>
      <c r="F85" s="73"/>
      <c r="G85" s="73">
        <v>10.72</v>
      </c>
      <c r="H85" s="73">
        <v>0</v>
      </c>
      <c r="I85" s="98">
        <v>2</v>
      </c>
      <c r="J85" s="74">
        <f t="shared" si="4"/>
        <v>0</v>
      </c>
      <c r="K85" s="179"/>
      <c r="L85" s="5"/>
      <c r="M85" s="5"/>
      <c r="O85" s="389"/>
    </row>
    <row r="86" spans="1:15" x14ac:dyDescent="0.25">
      <c r="A86" s="75"/>
      <c r="B86" s="70"/>
      <c r="C86" s="169"/>
      <c r="D86" s="194" t="s">
        <v>174</v>
      </c>
      <c r="E86" s="70"/>
      <c r="F86" s="73"/>
      <c r="G86" s="73">
        <v>10.72</v>
      </c>
      <c r="H86" s="73">
        <v>8</v>
      </c>
      <c r="I86" s="98">
        <v>2</v>
      </c>
      <c r="J86" s="74">
        <f t="shared" si="4"/>
        <v>171.52</v>
      </c>
      <c r="K86" s="179"/>
      <c r="L86" s="5"/>
      <c r="M86" s="5"/>
      <c r="O86" s="389"/>
    </row>
    <row r="87" spans="1:15" x14ac:dyDescent="0.25">
      <c r="A87" s="75"/>
      <c r="B87" s="70"/>
      <c r="C87" s="169"/>
      <c r="D87" s="194"/>
      <c r="E87" s="70"/>
      <c r="F87" s="73"/>
      <c r="G87" s="73">
        <v>1.5</v>
      </c>
      <c r="H87" s="73">
        <v>8</v>
      </c>
      <c r="I87" s="98">
        <v>2</v>
      </c>
      <c r="J87" s="74">
        <f t="shared" si="4"/>
        <v>24</v>
      </c>
      <c r="K87" s="179"/>
      <c r="L87" s="5"/>
      <c r="M87" s="5"/>
      <c r="O87" s="389"/>
    </row>
    <row r="88" spans="1:15" x14ac:dyDescent="0.25">
      <c r="A88" s="75"/>
      <c r="B88" s="70"/>
      <c r="C88" s="169"/>
      <c r="D88" s="194" t="s">
        <v>175</v>
      </c>
      <c r="E88" s="70"/>
      <c r="F88" s="73"/>
      <c r="G88" s="73"/>
      <c r="H88" s="73"/>
      <c r="I88" s="98"/>
      <c r="J88" s="74"/>
      <c r="K88" s="179"/>
      <c r="L88" s="5"/>
      <c r="M88" s="5"/>
      <c r="O88" s="389"/>
    </row>
    <row r="89" spans="1:15" x14ac:dyDescent="0.25">
      <c r="A89" s="75"/>
      <c r="B89" s="70"/>
      <c r="C89" s="169"/>
      <c r="D89" s="194" t="s">
        <v>173</v>
      </c>
      <c r="E89" s="70"/>
      <c r="F89" s="73"/>
      <c r="G89" s="73">
        <v>12.5</v>
      </c>
      <c r="H89" s="73">
        <f>8*0.17+1.75-0.11</f>
        <v>3.0000000000000004</v>
      </c>
      <c r="I89" s="98">
        <v>2</v>
      </c>
      <c r="J89" s="74">
        <f t="shared" si="4"/>
        <v>75.000000000000014</v>
      </c>
      <c r="K89" s="179"/>
      <c r="L89" s="5"/>
      <c r="M89" s="5"/>
      <c r="O89" s="389"/>
    </row>
    <row r="90" spans="1:15" x14ac:dyDescent="0.25">
      <c r="A90" s="75"/>
      <c r="B90" s="70"/>
      <c r="C90" s="169"/>
      <c r="D90" s="194"/>
      <c r="E90" s="70"/>
      <c r="F90" s="73"/>
      <c r="G90" s="73">
        <v>22</v>
      </c>
      <c r="H90" s="73">
        <f>8*0.17+1.75-0.11</f>
        <v>3.0000000000000004</v>
      </c>
      <c r="I90" s="98">
        <v>1</v>
      </c>
      <c r="J90" s="74">
        <f t="shared" si="4"/>
        <v>66.000000000000014</v>
      </c>
      <c r="K90" s="179"/>
      <c r="L90" s="5"/>
      <c r="M90" s="5"/>
      <c r="O90" s="389"/>
    </row>
    <row r="91" spans="1:15" x14ac:dyDescent="0.25">
      <c r="A91" s="75"/>
      <c r="B91" s="70"/>
      <c r="C91" s="169"/>
      <c r="D91" s="194" t="s">
        <v>176</v>
      </c>
      <c r="E91" s="70"/>
      <c r="F91" s="73"/>
      <c r="G91" s="73">
        <v>11.9</v>
      </c>
      <c r="H91" s="73">
        <v>1.5</v>
      </c>
      <c r="I91" s="98">
        <v>4</v>
      </c>
      <c r="J91" s="74">
        <f t="shared" si="4"/>
        <v>71.400000000000006</v>
      </c>
      <c r="K91" s="179"/>
      <c r="L91" s="5"/>
      <c r="M91" s="5"/>
      <c r="O91" s="389"/>
    </row>
    <row r="92" spans="1:15" x14ac:dyDescent="0.25">
      <c r="A92" s="75"/>
      <c r="B92" s="70"/>
      <c r="C92" s="169"/>
      <c r="D92" s="194"/>
      <c r="E92" s="70"/>
      <c r="F92" s="73"/>
      <c r="G92" s="73">
        <v>1.9</v>
      </c>
      <c r="H92" s="73">
        <v>1.5</v>
      </c>
      <c r="I92" s="98">
        <v>3</v>
      </c>
      <c r="J92" s="74">
        <f t="shared" si="4"/>
        <v>8.5499999999999989</v>
      </c>
      <c r="K92" s="179"/>
      <c r="L92" s="5"/>
      <c r="M92" s="5"/>
      <c r="O92" s="389"/>
    </row>
    <row r="93" spans="1:15" x14ac:dyDescent="0.25">
      <c r="A93" s="75"/>
      <c r="B93" s="70"/>
      <c r="C93" s="169"/>
      <c r="D93" s="194"/>
      <c r="E93" s="70"/>
      <c r="F93" s="73"/>
      <c r="G93" s="73">
        <f>1.96+3.5</f>
        <v>5.46</v>
      </c>
      <c r="H93" s="73">
        <v>3.3</v>
      </c>
      <c r="I93" s="98">
        <v>1</v>
      </c>
      <c r="J93" s="74">
        <f t="shared" si="4"/>
        <v>18.018000000000001</v>
      </c>
      <c r="K93" s="179"/>
      <c r="L93" s="5"/>
      <c r="M93" s="5"/>
      <c r="O93" s="389"/>
    </row>
    <row r="94" spans="1:15" x14ac:dyDescent="0.25">
      <c r="A94" s="75"/>
      <c r="B94" s="70"/>
      <c r="C94" s="169"/>
      <c r="D94" s="194" t="s">
        <v>191</v>
      </c>
      <c r="E94" s="70"/>
      <c r="F94" s="73"/>
      <c r="G94" s="73"/>
      <c r="H94" s="73"/>
      <c r="I94" s="98"/>
      <c r="J94" s="74"/>
      <c r="K94" s="179"/>
      <c r="L94" s="5"/>
      <c r="M94" s="5"/>
      <c r="O94" s="389"/>
    </row>
    <row r="95" spans="1:15" x14ac:dyDescent="0.25">
      <c r="A95" s="75"/>
      <c r="B95" s="70"/>
      <c r="C95" s="169"/>
      <c r="D95" s="194" t="s">
        <v>177</v>
      </c>
      <c r="E95" s="70"/>
      <c r="F95" s="73"/>
      <c r="G95" s="73">
        <v>1.5</v>
      </c>
      <c r="H95" s="73">
        <v>0.18</v>
      </c>
      <c r="I95" s="98">
        <v>26</v>
      </c>
      <c r="J95" s="74">
        <f t="shared" ref="J95:J96" si="5">PRODUCT(F95:I95)</f>
        <v>7.0200000000000005</v>
      </c>
      <c r="K95" s="179"/>
      <c r="L95" s="5"/>
      <c r="M95" s="5"/>
      <c r="O95" s="389"/>
    </row>
    <row r="96" spans="1:15" x14ac:dyDescent="0.25">
      <c r="A96" s="75"/>
      <c r="B96" s="70"/>
      <c r="C96" s="169"/>
      <c r="D96" s="194" t="s">
        <v>178</v>
      </c>
      <c r="E96" s="70"/>
      <c r="F96" s="73"/>
      <c r="G96" s="73">
        <v>1.5</v>
      </c>
      <c r="H96" s="73">
        <v>0.3</v>
      </c>
      <c r="I96" s="98">
        <v>26</v>
      </c>
      <c r="J96" s="74">
        <f t="shared" si="5"/>
        <v>11.7</v>
      </c>
      <c r="K96" s="179"/>
      <c r="L96" s="5"/>
      <c r="M96" s="5"/>
      <c r="O96" s="389"/>
    </row>
    <row r="97" spans="1:15" x14ac:dyDescent="0.25">
      <c r="A97" s="75"/>
      <c r="B97" s="70"/>
      <c r="C97" s="169"/>
      <c r="D97" s="439"/>
      <c r="E97" s="70"/>
      <c r="F97" s="73"/>
      <c r="G97" s="73"/>
      <c r="H97" s="73"/>
      <c r="I97" s="98"/>
      <c r="J97" s="74"/>
      <c r="K97" s="179"/>
      <c r="L97" s="5"/>
      <c r="M97" s="5"/>
      <c r="O97" s="389"/>
    </row>
    <row r="98" spans="1:15" s="21" customFormat="1" ht="15" customHeight="1" x14ac:dyDescent="0.25">
      <c r="A98" s="186"/>
      <c r="B98" s="187"/>
      <c r="C98" s="188"/>
      <c r="D98" s="189"/>
      <c r="E98" s="187"/>
      <c r="F98" s="190"/>
      <c r="G98" s="190"/>
      <c r="H98" s="190"/>
      <c r="I98" s="191" t="s">
        <v>4</v>
      </c>
      <c r="J98" s="192">
        <f>SUM(J82:M97)</f>
        <v>687.99779999999998</v>
      </c>
      <c r="K98" s="178"/>
      <c r="L98" s="15"/>
      <c r="M98" s="15"/>
      <c r="O98" s="388"/>
    </row>
    <row r="99" spans="1:15" ht="27" customHeight="1" x14ac:dyDescent="0.25">
      <c r="A99" s="75" t="s">
        <v>182</v>
      </c>
      <c r="B99" s="70" t="s">
        <v>24</v>
      </c>
      <c r="C99" s="169">
        <v>88487</v>
      </c>
      <c r="D99" s="81" t="s">
        <v>169</v>
      </c>
      <c r="E99" s="70" t="s">
        <v>8</v>
      </c>
      <c r="F99" s="73" t="s">
        <v>73</v>
      </c>
      <c r="G99" s="73" t="s">
        <v>75</v>
      </c>
      <c r="H99" s="73" t="s">
        <v>170</v>
      </c>
      <c r="I99" s="73" t="s">
        <v>171</v>
      </c>
      <c r="J99" s="74" t="s">
        <v>74</v>
      </c>
      <c r="K99" s="179" t="e">
        <f>#REF!</f>
        <v>#REF!</v>
      </c>
      <c r="L99" s="5">
        <f>ROUND(O99*(1+$O$7),2)</f>
        <v>7.42</v>
      </c>
      <c r="M99" s="5" t="e">
        <f>TRUNC(K99*L99,2)</f>
        <v>#REF!</v>
      </c>
      <c r="O99" s="389">
        <v>7.42</v>
      </c>
    </row>
    <row r="100" spans="1:15" x14ac:dyDescent="0.25">
      <c r="A100" s="75"/>
      <c r="B100" s="70"/>
      <c r="C100" s="169"/>
      <c r="D100" s="80" t="s">
        <v>172</v>
      </c>
      <c r="E100" s="70"/>
      <c r="F100" s="73">
        <v>3.14</v>
      </c>
      <c r="G100" s="73">
        <f>2*0.53</f>
        <v>1.06</v>
      </c>
      <c r="H100" s="73">
        <v>8</v>
      </c>
      <c r="I100" s="98">
        <v>34</v>
      </c>
      <c r="J100" s="74">
        <f>PRODUCT(F100:I100)</f>
        <v>905.3248000000001</v>
      </c>
      <c r="K100" s="179"/>
      <c r="L100" s="5"/>
      <c r="M100" s="5"/>
      <c r="O100" s="389"/>
    </row>
    <row r="101" spans="1:15" x14ac:dyDescent="0.25">
      <c r="A101" s="75"/>
      <c r="B101" s="70"/>
      <c r="C101" s="169"/>
      <c r="D101" s="194" t="s">
        <v>173</v>
      </c>
      <c r="E101" s="70"/>
      <c r="F101" s="73"/>
      <c r="G101" s="73">
        <v>21</v>
      </c>
      <c r="H101" s="73">
        <v>1.75</v>
      </c>
      <c r="I101" s="98">
        <v>1</v>
      </c>
      <c r="J101" s="74">
        <f>PRODUCT(F101:I101)</f>
        <v>36.75</v>
      </c>
      <c r="K101" s="179"/>
      <c r="L101" s="5"/>
      <c r="M101" s="5"/>
      <c r="O101" s="389"/>
    </row>
    <row r="102" spans="1:15" x14ac:dyDescent="0.25">
      <c r="A102" s="75"/>
      <c r="B102" s="70"/>
      <c r="C102" s="169"/>
      <c r="D102" s="194"/>
      <c r="E102" s="70"/>
      <c r="F102" s="73"/>
      <c r="G102" s="73">
        <v>21.76</v>
      </c>
      <c r="H102" s="73">
        <v>6.25</v>
      </c>
      <c r="I102" s="98">
        <v>1</v>
      </c>
      <c r="J102" s="74">
        <f t="shared" ref="J102:J105" si="6">PRODUCT(F102:I102)</f>
        <v>136</v>
      </c>
      <c r="K102" s="179"/>
      <c r="L102" s="5"/>
      <c r="M102" s="5"/>
      <c r="O102" s="389"/>
    </row>
    <row r="103" spans="1:15" x14ac:dyDescent="0.25">
      <c r="A103" s="75"/>
      <c r="B103" s="70"/>
      <c r="C103" s="169"/>
      <c r="D103" s="194"/>
      <c r="E103" s="70"/>
      <c r="F103" s="73"/>
      <c r="G103" s="73">
        <v>10.72</v>
      </c>
      <c r="H103" s="73">
        <v>6.25</v>
      </c>
      <c r="I103" s="98">
        <v>2</v>
      </c>
      <c r="J103" s="74">
        <f t="shared" si="6"/>
        <v>134</v>
      </c>
      <c r="K103" s="179"/>
      <c r="L103" s="5"/>
      <c r="M103" s="5"/>
      <c r="O103" s="389"/>
    </row>
    <row r="104" spans="1:15" x14ac:dyDescent="0.25">
      <c r="A104" s="75"/>
      <c r="B104" s="70"/>
      <c r="C104" s="169"/>
      <c r="D104" s="194" t="s">
        <v>174</v>
      </c>
      <c r="E104" s="70"/>
      <c r="F104" s="73"/>
      <c r="G104" s="73">
        <v>10.72</v>
      </c>
      <c r="H104" s="73">
        <v>8</v>
      </c>
      <c r="I104" s="98">
        <v>2</v>
      </c>
      <c r="J104" s="74">
        <f t="shared" si="6"/>
        <v>171.52</v>
      </c>
      <c r="K104" s="179"/>
      <c r="L104" s="5"/>
      <c r="M104" s="5"/>
      <c r="O104" s="389"/>
    </row>
    <row r="105" spans="1:15" x14ac:dyDescent="0.25">
      <c r="A105" s="75"/>
      <c r="B105" s="70"/>
      <c r="C105" s="169"/>
      <c r="D105" s="194"/>
      <c r="E105" s="70"/>
      <c r="F105" s="73"/>
      <c r="G105" s="73">
        <v>1.5</v>
      </c>
      <c r="H105" s="73">
        <v>8</v>
      </c>
      <c r="I105" s="98">
        <v>2</v>
      </c>
      <c r="J105" s="74">
        <f t="shared" si="6"/>
        <v>24</v>
      </c>
      <c r="K105" s="179"/>
      <c r="L105" s="5"/>
      <c r="M105" s="5"/>
      <c r="O105" s="389"/>
    </row>
    <row r="106" spans="1:15" x14ac:dyDescent="0.25">
      <c r="A106" s="75"/>
      <c r="B106" s="70"/>
      <c r="C106" s="169"/>
      <c r="D106" s="194" t="s">
        <v>175</v>
      </c>
      <c r="E106" s="70"/>
      <c r="F106" s="73"/>
      <c r="G106" s="73"/>
      <c r="H106" s="73"/>
      <c r="I106" s="98"/>
      <c r="J106" s="74"/>
      <c r="K106" s="179"/>
      <c r="L106" s="5"/>
      <c r="M106" s="5"/>
      <c r="O106" s="389"/>
    </row>
    <row r="107" spans="1:15" x14ac:dyDescent="0.25">
      <c r="A107" s="75"/>
      <c r="B107" s="70"/>
      <c r="C107" s="169"/>
      <c r="D107" s="194" t="s">
        <v>173</v>
      </c>
      <c r="E107" s="70"/>
      <c r="F107" s="73"/>
      <c r="G107" s="73">
        <v>12.5</v>
      </c>
      <c r="H107" s="73">
        <v>9</v>
      </c>
      <c r="I107" s="98">
        <v>2</v>
      </c>
      <c r="J107" s="74">
        <f t="shared" ref="J107:J111" si="7">PRODUCT(F107:I107)</f>
        <v>225</v>
      </c>
      <c r="K107" s="179"/>
      <c r="L107" s="5"/>
      <c r="M107" s="5"/>
      <c r="O107" s="389"/>
    </row>
    <row r="108" spans="1:15" x14ac:dyDescent="0.25">
      <c r="A108" s="75"/>
      <c r="B108" s="70"/>
      <c r="C108" s="169"/>
      <c r="D108" s="194"/>
      <c r="E108" s="70"/>
      <c r="F108" s="73"/>
      <c r="G108" s="73">
        <v>22</v>
      </c>
      <c r="H108" s="73">
        <v>9</v>
      </c>
      <c r="I108" s="98">
        <v>1</v>
      </c>
      <c r="J108" s="74">
        <f t="shared" si="7"/>
        <v>198</v>
      </c>
      <c r="K108" s="179"/>
      <c r="L108" s="5"/>
      <c r="M108" s="5"/>
      <c r="O108" s="389"/>
    </row>
    <row r="109" spans="1:15" x14ac:dyDescent="0.25">
      <c r="A109" s="75"/>
      <c r="B109" s="70"/>
      <c r="C109" s="169"/>
      <c r="D109" s="194" t="s">
        <v>176</v>
      </c>
      <c r="E109" s="70"/>
      <c r="F109" s="73"/>
      <c r="G109" s="73">
        <v>11.9</v>
      </c>
      <c r="H109" s="73">
        <v>1.5</v>
      </c>
      <c r="I109" s="98">
        <v>4</v>
      </c>
      <c r="J109" s="74">
        <f t="shared" si="7"/>
        <v>71.400000000000006</v>
      </c>
      <c r="K109" s="179"/>
      <c r="L109" s="5"/>
      <c r="M109" s="5"/>
      <c r="O109" s="389"/>
    </row>
    <row r="110" spans="1:15" x14ac:dyDescent="0.25">
      <c r="A110" s="75"/>
      <c r="B110" s="70"/>
      <c r="C110" s="169"/>
      <c r="D110" s="194"/>
      <c r="E110" s="70"/>
      <c r="F110" s="73"/>
      <c r="G110" s="73">
        <v>1.9</v>
      </c>
      <c r="H110" s="73">
        <v>1.5</v>
      </c>
      <c r="I110" s="98">
        <v>3</v>
      </c>
      <c r="J110" s="74">
        <f t="shared" si="7"/>
        <v>8.5499999999999989</v>
      </c>
      <c r="K110" s="179"/>
      <c r="L110" s="5"/>
      <c r="M110" s="5"/>
      <c r="O110" s="389"/>
    </row>
    <row r="111" spans="1:15" x14ac:dyDescent="0.25">
      <c r="A111" s="75"/>
      <c r="B111" s="70"/>
      <c r="C111" s="169"/>
      <c r="D111" s="194"/>
      <c r="E111" s="70"/>
      <c r="F111" s="73"/>
      <c r="G111" s="73">
        <f>1.96+3.5</f>
        <v>5.46</v>
      </c>
      <c r="H111" s="73">
        <v>3.3</v>
      </c>
      <c r="I111" s="98">
        <v>1</v>
      </c>
      <c r="J111" s="74">
        <f t="shared" si="7"/>
        <v>18.018000000000001</v>
      </c>
      <c r="K111" s="179"/>
      <c r="L111" s="5"/>
      <c r="M111" s="5"/>
      <c r="O111" s="389"/>
    </row>
    <row r="112" spans="1:15" x14ac:dyDescent="0.25">
      <c r="A112" s="75"/>
      <c r="B112" s="70"/>
      <c r="C112" s="169"/>
      <c r="D112" s="194" t="str">
        <f>D94</f>
        <v>DEGRAUS INTERNO</v>
      </c>
      <c r="E112" s="70"/>
      <c r="F112" s="73"/>
      <c r="G112" s="73"/>
      <c r="H112" s="73"/>
      <c r="I112" s="98"/>
      <c r="J112" s="74"/>
      <c r="K112" s="179"/>
      <c r="L112" s="5"/>
      <c r="M112" s="5"/>
      <c r="O112" s="389"/>
    </row>
    <row r="113" spans="1:15" x14ac:dyDescent="0.25">
      <c r="A113" s="75"/>
      <c r="B113" s="70"/>
      <c r="C113" s="169"/>
      <c r="D113" s="194" t="s">
        <v>177</v>
      </c>
      <c r="E113" s="70"/>
      <c r="F113" s="73"/>
      <c r="G113" s="73">
        <v>1.5</v>
      </c>
      <c r="H113" s="73">
        <v>0.18</v>
      </c>
      <c r="I113" s="98">
        <v>26</v>
      </c>
      <c r="J113" s="74">
        <f t="shared" ref="J113:J114" si="8">PRODUCT(F113:I113)</f>
        <v>7.0200000000000005</v>
      </c>
      <c r="K113" s="179"/>
      <c r="L113" s="5"/>
      <c r="M113" s="5"/>
      <c r="O113" s="389"/>
    </row>
    <row r="114" spans="1:15" x14ac:dyDescent="0.25">
      <c r="A114" s="75"/>
      <c r="B114" s="70"/>
      <c r="C114" s="169"/>
      <c r="D114" s="194" t="s">
        <v>178</v>
      </c>
      <c r="E114" s="70"/>
      <c r="F114" s="73"/>
      <c r="G114" s="73">
        <v>1.5</v>
      </c>
      <c r="H114" s="73">
        <v>0.3</v>
      </c>
      <c r="I114" s="98">
        <v>26</v>
      </c>
      <c r="J114" s="74">
        <f t="shared" si="8"/>
        <v>11.7</v>
      </c>
      <c r="K114" s="179"/>
      <c r="L114" s="5"/>
      <c r="M114" s="5"/>
      <c r="O114" s="389"/>
    </row>
    <row r="115" spans="1:15" x14ac:dyDescent="0.25">
      <c r="A115" s="75"/>
      <c r="B115" s="70"/>
      <c r="C115" s="169"/>
      <c r="D115" s="194" t="s">
        <v>195</v>
      </c>
      <c r="E115" s="70"/>
      <c r="F115" s="73"/>
      <c r="G115" s="73"/>
      <c r="H115" s="73"/>
      <c r="I115" s="98"/>
      <c r="J115" s="74"/>
      <c r="K115" s="179"/>
      <c r="L115" s="5"/>
      <c r="M115" s="5"/>
      <c r="O115" s="389"/>
    </row>
    <row r="116" spans="1:15" x14ac:dyDescent="0.25">
      <c r="A116" s="75"/>
      <c r="B116" s="70"/>
      <c r="C116" s="169"/>
      <c r="D116" s="440" t="s">
        <v>177</v>
      </c>
      <c r="E116" s="70"/>
      <c r="F116" s="73"/>
      <c r="G116" s="73">
        <v>90.95</v>
      </c>
      <c r="H116" s="73">
        <v>0.18</v>
      </c>
      <c r="I116" s="98">
        <v>2</v>
      </c>
      <c r="J116" s="74">
        <f t="shared" ref="J116:J122" si="9">PRODUCT(F116:I116)</f>
        <v>32.741999999999997</v>
      </c>
      <c r="K116" s="179"/>
      <c r="L116" s="5"/>
      <c r="M116" s="5"/>
      <c r="O116" s="389"/>
    </row>
    <row r="117" spans="1:15" x14ac:dyDescent="0.25">
      <c r="A117" s="75"/>
      <c r="B117" s="70"/>
      <c r="C117" s="169"/>
      <c r="D117" s="439"/>
      <c r="E117" s="70"/>
      <c r="F117" s="73"/>
      <c r="G117" s="73">
        <v>77.45</v>
      </c>
      <c r="H117" s="73">
        <v>0.18</v>
      </c>
      <c r="I117" s="98">
        <v>2</v>
      </c>
      <c r="J117" s="74">
        <f t="shared" si="9"/>
        <v>27.882000000000001</v>
      </c>
      <c r="K117" s="179"/>
      <c r="L117" s="5"/>
      <c r="M117" s="5"/>
      <c r="O117" s="389"/>
    </row>
    <row r="118" spans="1:15" x14ac:dyDescent="0.25">
      <c r="A118" s="75"/>
      <c r="B118" s="70"/>
      <c r="C118" s="169"/>
      <c r="D118" s="439"/>
      <c r="E118" s="70"/>
      <c r="F118" s="73"/>
      <c r="G118" s="73">
        <v>61.45</v>
      </c>
      <c r="H118" s="73">
        <v>0.18</v>
      </c>
      <c r="I118" s="98">
        <v>2</v>
      </c>
      <c r="J118" s="74">
        <f t="shared" si="9"/>
        <v>22.122</v>
      </c>
      <c r="K118" s="179"/>
      <c r="L118" s="5"/>
      <c r="M118" s="5"/>
      <c r="O118" s="389"/>
    </row>
    <row r="119" spans="1:15" x14ac:dyDescent="0.25">
      <c r="A119" s="75"/>
      <c r="B119" s="70"/>
      <c r="C119" s="169"/>
      <c r="D119" s="439"/>
      <c r="E119" s="70"/>
      <c r="F119" s="73"/>
      <c r="G119" s="73">
        <v>52.45</v>
      </c>
      <c r="H119" s="73">
        <v>0.18</v>
      </c>
      <c r="I119" s="98">
        <v>2</v>
      </c>
      <c r="J119" s="74">
        <f t="shared" si="9"/>
        <v>18.882000000000001</v>
      </c>
      <c r="K119" s="179"/>
      <c r="L119" s="5"/>
      <c r="M119" s="5"/>
      <c r="O119" s="389"/>
    </row>
    <row r="120" spans="1:15" x14ac:dyDescent="0.25">
      <c r="A120" s="75"/>
      <c r="B120" s="70"/>
      <c r="C120" s="169"/>
      <c r="D120" s="439"/>
      <c r="E120" s="70"/>
      <c r="F120" s="73"/>
      <c r="G120" s="73">
        <v>35.450000000000003</v>
      </c>
      <c r="H120" s="73">
        <v>0.18</v>
      </c>
      <c r="I120" s="98">
        <v>2</v>
      </c>
      <c r="J120" s="74">
        <f t="shared" si="9"/>
        <v>12.762</v>
      </c>
      <c r="K120" s="179"/>
      <c r="L120" s="5"/>
      <c r="M120" s="5"/>
      <c r="O120" s="389"/>
    </row>
    <row r="121" spans="1:15" x14ac:dyDescent="0.25">
      <c r="A121" s="75"/>
      <c r="B121" s="70"/>
      <c r="C121" s="169"/>
      <c r="D121" s="439"/>
      <c r="E121" s="70"/>
      <c r="F121" s="73"/>
      <c r="G121" s="73">
        <v>22.45</v>
      </c>
      <c r="H121" s="73">
        <v>0.18</v>
      </c>
      <c r="I121" s="98">
        <v>2</v>
      </c>
      <c r="J121" s="74">
        <f t="shared" si="9"/>
        <v>8.081999999999999</v>
      </c>
      <c r="K121" s="179"/>
      <c r="L121" s="5"/>
      <c r="M121" s="5"/>
      <c r="O121" s="389"/>
    </row>
    <row r="122" spans="1:15" x14ac:dyDescent="0.25">
      <c r="A122" s="75"/>
      <c r="B122" s="70"/>
      <c r="C122" s="169"/>
      <c r="D122" s="439"/>
      <c r="E122" s="70"/>
      <c r="F122" s="73"/>
      <c r="G122" s="73">
        <v>8.43</v>
      </c>
      <c r="H122" s="73">
        <v>0.18</v>
      </c>
      <c r="I122" s="98">
        <v>2</v>
      </c>
      <c r="J122" s="74">
        <f t="shared" si="9"/>
        <v>3.0347999999999997</v>
      </c>
      <c r="K122" s="179"/>
      <c r="L122" s="5"/>
      <c r="M122" s="5"/>
      <c r="O122" s="389"/>
    </row>
    <row r="123" spans="1:15" x14ac:dyDescent="0.25">
      <c r="A123" s="75"/>
      <c r="B123" s="70"/>
      <c r="C123" s="169"/>
      <c r="D123" s="439"/>
      <c r="E123" s="70"/>
      <c r="F123" s="73"/>
      <c r="G123" s="73"/>
      <c r="H123" s="73"/>
      <c r="I123" s="98"/>
      <c r="J123" s="74"/>
      <c r="K123" s="179"/>
      <c r="L123" s="5"/>
      <c r="M123" s="5"/>
      <c r="O123" s="389"/>
    </row>
    <row r="124" spans="1:15" s="21" customFormat="1" ht="15" customHeight="1" x14ac:dyDescent="0.25">
      <c r="A124" s="186"/>
      <c r="B124" s="187"/>
      <c r="C124" s="188"/>
      <c r="D124" s="189"/>
      <c r="E124" s="187"/>
      <c r="F124" s="190"/>
      <c r="G124" s="190"/>
      <c r="H124" s="190"/>
      <c r="I124" s="191" t="s">
        <v>4</v>
      </c>
      <c r="J124" s="192">
        <f>SUM(J100:J123)</f>
        <v>2072.7896000000001</v>
      </c>
      <c r="K124" s="178"/>
      <c r="L124" s="15"/>
      <c r="M124" s="15"/>
      <c r="O124" s="388"/>
    </row>
  </sheetData>
  <mergeCells count="38">
    <mergeCell ref="B59:C59"/>
    <mergeCell ref="A14:D14"/>
    <mergeCell ref="E14:G14"/>
    <mergeCell ref="H14:I14"/>
    <mergeCell ref="K16:M17"/>
    <mergeCell ref="B16:B17"/>
    <mergeCell ref="A16:A17"/>
    <mergeCell ref="C16:C17"/>
    <mergeCell ref="D16:D17"/>
    <mergeCell ref="E16:E17"/>
    <mergeCell ref="F16:J17"/>
    <mergeCell ref="B50:C50"/>
    <mergeCell ref="B73:C73"/>
    <mergeCell ref="A15:I15"/>
    <mergeCell ref="A1:J2"/>
    <mergeCell ref="E3:J3"/>
    <mergeCell ref="E4:J4"/>
    <mergeCell ref="A12:D12"/>
    <mergeCell ref="E12:G12"/>
    <mergeCell ref="H12:I12"/>
    <mergeCell ref="A9:D9"/>
    <mergeCell ref="A3:D3"/>
    <mergeCell ref="A4:D4"/>
    <mergeCell ref="A11:D11"/>
    <mergeCell ref="E11:G11"/>
    <mergeCell ref="H11:I11"/>
    <mergeCell ref="A5:I5"/>
    <mergeCell ref="A6:I6"/>
    <mergeCell ref="A7:I7"/>
    <mergeCell ref="A8:I8"/>
    <mergeCell ref="A13:D13"/>
    <mergeCell ref="E13:G13"/>
    <mergeCell ref="H13:I13"/>
    <mergeCell ref="A10:D10"/>
    <mergeCell ref="E10:G10"/>
    <mergeCell ref="H10:I10"/>
    <mergeCell ref="E9:G9"/>
    <mergeCell ref="H9:I9"/>
  </mergeCells>
  <printOptions horizontalCentered="1"/>
  <pageMargins left="0.78740157480314965" right="0.39370078740157483" top="0.59055118110236227" bottom="0.59055118110236227" header="0.39370078740157483" footer="0.39370078740157483"/>
  <pageSetup paperSize="9" scale="61" orientation="portrait" r:id="rId1"/>
  <rowBreaks count="1" manualBreakCount="1">
    <brk id="69" max="12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Normal="115" zoomScaleSheetLayoutView="100" workbookViewId="0">
      <selection activeCell="A40" sqref="A40"/>
    </sheetView>
  </sheetViews>
  <sheetFormatPr defaultRowHeight="10.8" x14ac:dyDescent="0.25"/>
  <cols>
    <col min="1" max="1" width="9.88671875" style="22" customWidth="1"/>
    <col min="2" max="2" width="30.44140625" style="22" bestFit="1" customWidth="1"/>
    <col min="3" max="3" width="20.109375" style="22" customWidth="1"/>
    <col min="4" max="6" width="15.6640625" style="22" customWidth="1"/>
    <col min="7" max="8" width="10" style="22" bestFit="1" customWidth="1"/>
    <col min="9" max="253" width="9.109375" style="22"/>
    <col min="254" max="254" width="20.109375" style="22" customWidth="1"/>
    <col min="255" max="255" width="28.5546875" style="22" customWidth="1"/>
    <col min="256" max="256" width="20.109375" style="22" customWidth="1"/>
    <col min="257" max="262" width="16.44140625" style="22" customWidth="1"/>
    <col min="263" max="264" width="10" style="22" bestFit="1" customWidth="1"/>
    <col min="265" max="509" width="9.109375" style="22"/>
    <col min="510" max="510" width="20.109375" style="22" customWidth="1"/>
    <col min="511" max="511" width="28.5546875" style="22" customWidth="1"/>
    <col min="512" max="512" width="20.109375" style="22" customWidth="1"/>
    <col min="513" max="518" width="16.44140625" style="22" customWidth="1"/>
    <col min="519" max="520" width="10" style="22" bestFit="1" customWidth="1"/>
    <col min="521" max="765" width="9.109375" style="22"/>
    <col min="766" max="766" width="20.109375" style="22" customWidth="1"/>
    <col min="767" max="767" width="28.5546875" style="22" customWidth="1"/>
    <col min="768" max="768" width="20.109375" style="22" customWidth="1"/>
    <col min="769" max="774" width="16.44140625" style="22" customWidth="1"/>
    <col min="775" max="776" width="10" style="22" bestFit="1" customWidth="1"/>
    <col min="777" max="1021" width="9.109375" style="22"/>
    <col min="1022" max="1022" width="20.109375" style="22" customWidth="1"/>
    <col min="1023" max="1023" width="28.5546875" style="22" customWidth="1"/>
    <col min="1024" max="1024" width="20.109375" style="22" customWidth="1"/>
    <col min="1025" max="1030" width="16.44140625" style="22" customWidth="1"/>
    <col min="1031" max="1032" width="10" style="22" bestFit="1" customWidth="1"/>
    <col min="1033" max="1277" width="9.109375" style="22"/>
    <col min="1278" max="1278" width="20.109375" style="22" customWidth="1"/>
    <col min="1279" max="1279" width="28.5546875" style="22" customWidth="1"/>
    <col min="1280" max="1280" width="20.109375" style="22" customWidth="1"/>
    <col min="1281" max="1286" width="16.44140625" style="22" customWidth="1"/>
    <col min="1287" max="1288" width="10" style="22" bestFit="1" customWidth="1"/>
    <col min="1289" max="1533" width="9.109375" style="22"/>
    <col min="1534" max="1534" width="20.109375" style="22" customWidth="1"/>
    <col min="1535" max="1535" width="28.5546875" style="22" customWidth="1"/>
    <col min="1536" max="1536" width="20.109375" style="22" customWidth="1"/>
    <col min="1537" max="1542" width="16.44140625" style="22" customWidth="1"/>
    <col min="1543" max="1544" width="10" style="22" bestFit="1" customWidth="1"/>
    <col min="1545" max="1789" width="9.109375" style="22"/>
    <col min="1790" max="1790" width="20.109375" style="22" customWidth="1"/>
    <col min="1791" max="1791" width="28.5546875" style="22" customWidth="1"/>
    <col min="1792" max="1792" width="20.109375" style="22" customWidth="1"/>
    <col min="1793" max="1798" width="16.44140625" style="22" customWidth="1"/>
    <col min="1799" max="1800" width="10" style="22" bestFit="1" customWidth="1"/>
    <col min="1801" max="2045" width="9.109375" style="22"/>
    <col min="2046" max="2046" width="20.109375" style="22" customWidth="1"/>
    <col min="2047" max="2047" width="28.5546875" style="22" customWidth="1"/>
    <col min="2048" max="2048" width="20.109375" style="22" customWidth="1"/>
    <col min="2049" max="2054" width="16.44140625" style="22" customWidth="1"/>
    <col min="2055" max="2056" width="10" style="22" bestFit="1" customWidth="1"/>
    <col min="2057" max="2301" width="9.109375" style="22"/>
    <col min="2302" max="2302" width="20.109375" style="22" customWidth="1"/>
    <col min="2303" max="2303" width="28.5546875" style="22" customWidth="1"/>
    <col min="2304" max="2304" width="20.109375" style="22" customWidth="1"/>
    <col min="2305" max="2310" width="16.44140625" style="22" customWidth="1"/>
    <col min="2311" max="2312" width="10" style="22" bestFit="1" customWidth="1"/>
    <col min="2313" max="2557" width="9.109375" style="22"/>
    <col min="2558" max="2558" width="20.109375" style="22" customWidth="1"/>
    <col min="2559" max="2559" width="28.5546875" style="22" customWidth="1"/>
    <col min="2560" max="2560" width="20.109375" style="22" customWidth="1"/>
    <col min="2561" max="2566" width="16.44140625" style="22" customWidth="1"/>
    <col min="2567" max="2568" width="10" style="22" bestFit="1" customWidth="1"/>
    <col min="2569" max="2813" width="9.109375" style="22"/>
    <col min="2814" max="2814" width="20.109375" style="22" customWidth="1"/>
    <col min="2815" max="2815" width="28.5546875" style="22" customWidth="1"/>
    <col min="2816" max="2816" width="20.109375" style="22" customWidth="1"/>
    <col min="2817" max="2822" width="16.44140625" style="22" customWidth="1"/>
    <col min="2823" max="2824" width="10" style="22" bestFit="1" customWidth="1"/>
    <col min="2825" max="3069" width="9.109375" style="22"/>
    <col min="3070" max="3070" width="20.109375" style="22" customWidth="1"/>
    <col min="3071" max="3071" width="28.5546875" style="22" customWidth="1"/>
    <col min="3072" max="3072" width="20.109375" style="22" customWidth="1"/>
    <col min="3073" max="3078" width="16.44140625" style="22" customWidth="1"/>
    <col min="3079" max="3080" width="10" style="22" bestFit="1" customWidth="1"/>
    <col min="3081" max="3325" width="9.109375" style="22"/>
    <col min="3326" max="3326" width="20.109375" style="22" customWidth="1"/>
    <col min="3327" max="3327" width="28.5546875" style="22" customWidth="1"/>
    <col min="3328" max="3328" width="20.109375" style="22" customWidth="1"/>
    <col min="3329" max="3334" width="16.44140625" style="22" customWidth="1"/>
    <col min="3335" max="3336" width="10" style="22" bestFit="1" customWidth="1"/>
    <col min="3337" max="3581" width="9.109375" style="22"/>
    <col min="3582" max="3582" width="20.109375" style="22" customWidth="1"/>
    <col min="3583" max="3583" width="28.5546875" style="22" customWidth="1"/>
    <col min="3584" max="3584" width="20.109375" style="22" customWidth="1"/>
    <col min="3585" max="3590" width="16.44140625" style="22" customWidth="1"/>
    <col min="3591" max="3592" width="10" style="22" bestFit="1" customWidth="1"/>
    <col min="3593" max="3837" width="9.109375" style="22"/>
    <col min="3838" max="3838" width="20.109375" style="22" customWidth="1"/>
    <col min="3839" max="3839" width="28.5546875" style="22" customWidth="1"/>
    <col min="3840" max="3840" width="20.109375" style="22" customWidth="1"/>
    <col min="3841" max="3846" width="16.44140625" style="22" customWidth="1"/>
    <col min="3847" max="3848" width="10" style="22" bestFit="1" customWidth="1"/>
    <col min="3849" max="4093" width="9.109375" style="22"/>
    <col min="4094" max="4094" width="20.109375" style="22" customWidth="1"/>
    <col min="4095" max="4095" width="28.5546875" style="22" customWidth="1"/>
    <col min="4096" max="4096" width="20.109375" style="22" customWidth="1"/>
    <col min="4097" max="4102" width="16.44140625" style="22" customWidth="1"/>
    <col min="4103" max="4104" width="10" style="22" bestFit="1" customWidth="1"/>
    <col min="4105" max="4349" width="9.109375" style="22"/>
    <col min="4350" max="4350" width="20.109375" style="22" customWidth="1"/>
    <col min="4351" max="4351" width="28.5546875" style="22" customWidth="1"/>
    <col min="4352" max="4352" width="20.109375" style="22" customWidth="1"/>
    <col min="4353" max="4358" width="16.44140625" style="22" customWidth="1"/>
    <col min="4359" max="4360" width="10" style="22" bestFit="1" customWidth="1"/>
    <col min="4361" max="4605" width="9.109375" style="22"/>
    <col min="4606" max="4606" width="20.109375" style="22" customWidth="1"/>
    <col min="4607" max="4607" width="28.5546875" style="22" customWidth="1"/>
    <col min="4608" max="4608" width="20.109375" style="22" customWidth="1"/>
    <col min="4609" max="4614" width="16.44140625" style="22" customWidth="1"/>
    <col min="4615" max="4616" width="10" style="22" bestFit="1" customWidth="1"/>
    <col min="4617" max="4861" width="9.109375" style="22"/>
    <col min="4862" max="4862" width="20.109375" style="22" customWidth="1"/>
    <col min="4863" max="4863" width="28.5546875" style="22" customWidth="1"/>
    <col min="4864" max="4864" width="20.109375" style="22" customWidth="1"/>
    <col min="4865" max="4870" width="16.44140625" style="22" customWidth="1"/>
    <col min="4871" max="4872" width="10" style="22" bestFit="1" customWidth="1"/>
    <col min="4873" max="5117" width="9.109375" style="22"/>
    <col min="5118" max="5118" width="20.109375" style="22" customWidth="1"/>
    <col min="5119" max="5119" width="28.5546875" style="22" customWidth="1"/>
    <col min="5120" max="5120" width="20.109375" style="22" customWidth="1"/>
    <col min="5121" max="5126" width="16.44140625" style="22" customWidth="1"/>
    <col min="5127" max="5128" width="10" style="22" bestFit="1" customWidth="1"/>
    <col min="5129" max="5373" width="9.109375" style="22"/>
    <col min="5374" max="5374" width="20.109375" style="22" customWidth="1"/>
    <col min="5375" max="5375" width="28.5546875" style="22" customWidth="1"/>
    <col min="5376" max="5376" width="20.109375" style="22" customWidth="1"/>
    <col min="5377" max="5382" width="16.44140625" style="22" customWidth="1"/>
    <col min="5383" max="5384" width="10" style="22" bestFit="1" customWidth="1"/>
    <col min="5385" max="5629" width="9.109375" style="22"/>
    <col min="5630" max="5630" width="20.109375" style="22" customWidth="1"/>
    <col min="5631" max="5631" width="28.5546875" style="22" customWidth="1"/>
    <col min="5632" max="5632" width="20.109375" style="22" customWidth="1"/>
    <col min="5633" max="5638" width="16.44140625" style="22" customWidth="1"/>
    <col min="5639" max="5640" width="10" style="22" bestFit="1" customWidth="1"/>
    <col min="5641" max="5885" width="9.109375" style="22"/>
    <col min="5886" max="5886" width="20.109375" style="22" customWidth="1"/>
    <col min="5887" max="5887" width="28.5546875" style="22" customWidth="1"/>
    <col min="5888" max="5888" width="20.109375" style="22" customWidth="1"/>
    <col min="5889" max="5894" width="16.44140625" style="22" customWidth="1"/>
    <col min="5895" max="5896" width="10" style="22" bestFit="1" customWidth="1"/>
    <col min="5897" max="6141" width="9.109375" style="22"/>
    <col min="6142" max="6142" width="20.109375" style="22" customWidth="1"/>
    <col min="6143" max="6143" width="28.5546875" style="22" customWidth="1"/>
    <col min="6144" max="6144" width="20.109375" style="22" customWidth="1"/>
    <col min="6145" max="6150" width="16.44140625" style="22" customWidth="1"/>
    <col min="6151" max="6152" width="10" style="22" bestFit="1" customWidth="1"/>
    <col min="6153" max="6397" width="9.109375" style="22"/>
    <col min="6398" max="6398" width="20.109375" style="22" customWidth="1"/>
    <col min="6399" max="6399" width="28.5546875" style="22" customWidth="1"/>
    <col min="6400" max="6400" width="20.109375" style="22" customWidth="1"/>
    <col min="6401" max="6406" width="16.44140625" style="22" customWidth="1"/>
    <col min="6407" max="6408" width="10" style="22" bestFit="1" customWidth="1"/>
    <col min="6409" max="6653" width="9.109375" style="22"/>
    <col min="6654" max="6654" width="20.109375" style="22" customWidth="1"/>
    <col min="6655" max="6655" width="28.5546875" style="22" customWidth="1"/>
    <col min="6656" max="6656" width="20.109375" style="22" customWidth="1"/>
    <col min="6657" max="6662" width="16.44140625" style="22" customWidth="1"/>
    <col min="6663" max="6664" width="10" style="22" bestFit="1" customWidth="1"/>
    <col min="6665" max="6909" width="9.109375" style="22"/>
    <col min="6910" max="6910" width="20.109375" style="22" customWidth="1"/>
    <col min="6911" max="6911" width="28.5546875" style="22" customWidth="1"/>
    <col min="6912" max="6912" width="20.109375" style="22" customWidth="1"/>
    <col min="6913" max="6918" width="16.44140625" style="22" customWidth="1"/>
    <col min="6919" max="6920" width="10" style="22" bestFit="1" customWidth="1"/>
    <col min="6921" max="7165" width="9.109375" style="22"/>
    <col min="7166" max="7166" width="20.109375" style="22" customWidth="1"/>
    <col min="7167" max="7167" width="28.5546875" style="22" customWidth="1"/>
    <col min="7168" max="7168" width="20.109375" style="22" customWidth="1"/>
    <col min="7169" max="7174" width="16.44140625" style="22" customWidth="1"/>
    <col min="7175" max="7176" width="10" style="22" bestFit="1" customWidth="1"/>
    <col min="7177" max="7421" width="9.109375" style="22"/>
    <col min="7422" max="7422" width="20.109375" style="22" customWidth="1"/>
    <col min="7423" max="7423" width="28.5546875" style="22" customWidth="1"/>
    <col min="7424" max="7424" width="20.109375" style="22" customWidth="1"/>
    <col min="7425" max="7430" width="16.44140625" style="22" customWidth="1"/>
    <col min="7431" max="7432" width="10" style="22" bestFit="1" customWidth="1"/>
    <col min="7433" max="7677" width="9.109375" style="22"/>
    <col min="7678" max="7678" width="20.109375" style="22" customWidth="1"/>
    <col min="7679" max="7679" width="28.5546875" style="22" customWidth="1"/>
    <col min="7680" max="7680" width="20.109375" style="22" customWidth="1"/>
    <col min="7681" max="7686" width="16.44140625" style="22" customWidth="1"/>
    <col min="7687" max="7688" width="10" style="22" bestFit="1" customWidth="1"/>
    <col min="7689" max="7933" width="9.109375" style="22"/>
    <col min="7934" max="7934" width="20.109375" style="22" customWidth="1"/>
    <col min="7935" max="7935" width="28.5546875" style="22" customWidth="1"/>
    <col min="7936" max="7936" width="20.109375" style="22" customWidth="1"/>
    <col min="7937" max="7942" width="16.44140625" style="22" customWidth="1"/>
    <col min="7943" max="7944" width="10" style="22" bestFit="1" customWidth="1"/>
    <col min="7945" max="8189" width="9.109375" style="22"/>
    <col min="8190" max="8190" width="20.109375" style="22" customWidth="1"/>
    <col min="8191" max="8191" width="28.5546875" style="22" customWidth="1"/>
    <col min="8192" max="8192" width="20.109375" style="22" customWidth="1"/>
    <col min="8193" max="8198" width="16.44140625" style="22" customWidth="1"/>
    <col min="8199" max="8200" width="10" style="22" bestFit="1" customWidth="1"/>
    <col min="8201" max="8445" width="9.109375" style="22"/>
    <col min="8446" max="8446" width="20.109375" style="22" customWidth="1"/>
    <col min="8447" max="8447" width="28.5546875" style="22" customWidth="1"/>
    <col min="8448" max="8448" width="20.109375" style="22" customWidth="1"/>
    <col min="8449" max="8454" width="16.44140625" style="22" customWidth="1"/>
    <col min="8455" max="8456" width="10" style="22" bestFit="1" customWidth="1"/>
    <col min="8457" max="8701" width="9.109375" style="22"/>
    <col min="8702" max="8702" width="20.109375" style="22" customWidth="1"/>
    <col min="8703" max="8703" width="28.5546875" style="22" customWidth="1"/>
    <col min="8704" max="8704" width="20.109375" style="22" customWidth="1"/>
    <col min="8705" max="8710" width="16.44140625" style="22" customWidth="1"/>
    <col min="8711" max="8712" width="10" style="22" bestFit="1" customWidth="1"/>
    <col min="8713" max="8957" width="9.109375" style="22"/>
    <col min="8958" max="8958" width="20.109375" style="22" customWidth="1"/>
    <col min="8959" max="8959" width="28.5546875" style="22" customWidth="1"/>
    <col min="8960" max="8960" width="20.109375" style="22" customWidth="1"/>
    <col min="8961" max="8966" width="16.44140625" style="22" customWidth="1"/>
    <col min="8967" max="8968" width="10" style="22" bestFit="1" customWidth="1"/>
    <col min="8969" max="9213" width="9.109375" style="22"/>
    <col min="9214" max="9214" width="20.109375" style="22" customWidth="1"/>
    <col min="9215" max="9215" width="28.5546875" style="22" customWidth="1"/>
    <col min="9216" max="9216" width="20.109375" style="22" customWidth="1"/>
    <col min="9217" max="9222" width="16.44140625" style="22" customWidth="1"/>
    <col min="9223" max="9224" width="10" style="22" bestFit="1" customWidth="1"/>
    <col min="9225" max="9469" width="9.109375" style="22"/>
    <col min="9470" max="9470" width="20.109375" style="22" customWidth="1"/>
    <col min="9471" max="9471" width="28.5546875" style="22" customWidth="1"/>
    <col min="9472" max="9472" width="20.109375" style="22" customWidth="1"/>
    <col min="9473" max="9478" width="16.44140625" style="22" customWidth="1"/>
    <col min="9479" max="9480" width="10" style="22" bestFit="1" customWidth="1"/>
    <col min="9481" max="9725" width="9.109375" style="22"/>
    <col min="9726" max="9726" width="20.109375" style="22" customWidth="1"/>
    <col min="9727" max="9727" width="28.5546875" style="22" customWidth="1"/>
    <col min="9728" max="9728" width="20.109375" style="22" customWidth="1"/>
    <col min="9729" max="9734" width="16.44140625" style="22" customWidth="1"/>
    <col min="9735" max="9736" width="10" style="22" bestFit="1" customWidth="1"/>
    <col min="9737" max="9981" width="9.109375" style="22"/>
    <col min="9982" max="9982" width="20.109375" style="22" customWidth="1"/>
    <col min="9983" max="9983" width="28.5546875" style="22" customWidth="1"/>
    <col min="9984" max="9984" width="20.109375" style="22" customWidth="1"/>
    <col min="9985" max="9990" width="16.44140625" style="22" customWidth="1"/>
    <col min="9991" max="9992" width="10" style="22" bestFit="1" customWidth="1"/>
    <col min="9993" max="10237" width="9.109375" style="22"/>
    <col min="10238" max="10238" width="20.109375" style="22" customWidth="1"/>
    <col min="10239" max="10239" width="28.5546875" style="22" customWidth="1"/>
    <col min="10240" max="10240" width="20.109375" style="22" customWidth="1"/>
    <col min="10241" max="10246" width="16.44140625" style="22" customWidth="1"/>
    <col min="10247" max="10248" width="10" style="22" bestFit="1" customWidth="1"/>
    <col min="10249" max="10493" width="9.109375" style="22"/>
    <col min="10494" max="10494" width="20.109375" style="22" customWidth="1"/>
    <col min="10495" max="10495" width="28.5546875" style="22" customWidth="1"/>
    <col min="10496" max="10496" width="20.109375" style="22" customWidth="1"/>
    <col min="10497" max="10502" width="16.44140625" style="22" customWidth="1"/>
    <col min="10503" max="10504" width="10" style="22" bestFit="1" customWidth="1"/>
    <col min="10505" max="10749" width="9.109375" style="22"/>
    <col min="10750" max="10750" width="20.109375" style="22" customWidth="1"/>
    <col min="10751" max="10751" width="28.5546875" style="22" customWidth="1"/>
    <col min="10752" max="10752" width="20.109375" style="22" customWidth="1"/>
    <col min="10753" max="10758" width="16.44140625" style="22" customWidth="1"/>
    <col min="10759" max="10760" width="10" style="22" bestFit="1" customWidth="1"/>
    <col min="10761" max="11005" width="9.109375" style="22"/>
    <col min="11006" max="11006" width="20.109375" style="22" customWidth="1"/>
    <col min="11007" max="11007" width="28.5546875" style="22" customWidth="1"/>
    <col min="11008" max="11008" width="20.109375" style="22" customWidth="1"/>
    <col min="11009" max="11014" width="16.44140625" style="22" customWidth="1"/>
    <col min="11015" max="11016" width="10" style="22" bestFit="1" customWidth="1"/>
    <col min="11017" max="11261" width="9.109375" style="22"/>
    <col min="11262" max="11262" width="20.109375" style="22" customWidth="1"/>
    <col min="11263" max="11263" width="28.5546875" style="22" customWidth="1"/>
    <col min="11264" max="11264" width="20.109375" style="22" customWidth="1"/>
    <col min="11265" max="11270" width="16.44140625" style="22" customWidth="1"/>
    <col min="11271" max="11272" width="10" style="22" bestFit="1" customWidth="1"/>
    <col min="11273" max="11517" width="9.109375" style="22"/>
    <col min="11518" max="11518" width="20.109375" style="22" customWidth="1"/>
    <col min="11519" max="11519" width="28.5546875" style="22" customWidth="1"/>
    <col min="11520" max="11520" width="20.109375" style="22" customWidth="1"/>
    <col min="11521" max="11526" width="16.44140625" style="22" customWidth="1"/>
    <col min="11527" max="11528" width="10" style="22" bestFit="1" customWidth="1"/>
    <col min="11529" max="11773" width="9.109375" style="22"/>
    <col min="11774" max="11774" width="20.109375" style="22" customWidth="1"/>
    <col min="11775" max="11775" width="28.5546875" style="22" customWidth="1"/>
    <col min="11776" max="11776" width="20.109375" style="22" customWidth="1"/>
    <col min="11777" max="11782" width="16.44140625" style="22" customWidth="1"/>
    <col min="11783" max="11784" width="10" style="22" bestFit="1" customWidth="1"/>
    <col min="11785" max="12029" width="9.109375" style="22"/>
    <col min="12030" max="12030" width="20.109375" style="22" customWidth="1"/>
    <col min="12031" max="12031" width="28.5546875" style="22" customWidth="1"/>
    <col min="12032" max="12032" width="20.109375" style="22" customWidth="1"/>
    <col min="12033" max="12038" width="16.44140625" style="22" customWidth="1"/>
    <col min="12039" max="12040" width="10" style="22" bestFit="1" customWidth="1"/>
    <col min="12041" max="12285" width="9.109375" style="22"/>
    <col min="12286" max="12286" width="20.109375" style="22" customWidth="1"/>
    <col min="12287" max="12287" width="28.5546875" style="22" customWidth="1"/>
    <col min="12288" max="12288" width="20.109375" style="22" customWidth="1"/>
    <col min="12289" max="12294" width="16.44140625" style="22" customWidth="1"/>
    <col min="12295" max="12296" width="10" style="22" bestFit="1" customWidth="1"/>
    <col min="12297" max="12541" width="9.109375" style="22"/>
    <col min="12542" max="12542" width="20.109375" style="22" customWidth="1"/>
    <col min="12543" max="12543" width="28.5546875" style="22" customWidth="1"/>
    <col min="12544" max="12544" width="20.109375" style="22" customWidth="1"/>
    <col min="12545" max="12550" width="16.44140625" style="22" customWidth="1"/>
    <col min="12551" max="12552" width="10" style="22" bestFit="1" customWidth="1"/>
    <col min="12553" max="12797" width="9.109375" style="22"/>
    <col min="12798" max="12798" width="20.109375" style="22" customWidth="1"/>
    <col min="12799" max="12799" width="28.5546875" style="22" customWidth="1"/>
    <col min="12800" max="12800" width="20.109375" style="22" customWidth="1"/>
    <col min="12801" max="12806" width="16.44140625" style="22" customWidth="1"/>
    <col min="12807" max="12808" width="10" style="22" bestFit="1" customWidth="1"/>
    <col min="12809" max="13053" width="9.109375" style="22"/>
    <col min="13054" max="13054" width="20.109375" style="22" customWidth="1"/>
    <col min="13055" max="13055" width="28.5546875" style="22" customWidth="1"/>
    <col min="13056" max="13056" width="20.109375" style="22" customWidth="1"/>
    <col min="13057" max="13062" width="16.44140625" style="22" customWidth="1"/>
    <col min="13063" max="13064" width="10" style="22" bestFit="1" customWidth="1"/>
    <col min="13065" max="13309" width="9.109375" style="22"/>
    <col min="13310" max="13310" width="20.109375" style="22" customWidth="1"/>
    <col min="13311" max="13311" width="28.5546875" style="22" customWidth="1"/>
    <col min="13312" max="13312" width="20.109375" style="22" customWidth="1"/>
    <col min="13313" max="13318" width="16.44140625" style="22" customWidth="1"/>
    <col min="13319" max="13320" width="10" style="22" bestFit="1" customWidth="1"/>
    <col min="13321" max="13565" width="9.109375" style="22"/>
    <col min="13566" max="13566" width="20.109375" style="22" customWidth="1"/>
    <col min="13567" max="13567" width="28.5546875" style="22" customWidth="1"/>
    <col min="13568" max="13568" width="20.109375" style="22" customWidth="1"/>
    <col min="13569" max="13574" width="16.44140625" style="22" customWidth="1"/>
    <col min="13575" max="13576" width="10" style="22" bestFit="1" customWidth="1"/>
    <col min="13577" max="13821" width="9.109375" style="22"/>
    <col min="13822" max="13822" width="20.109375" style="22" customWidth="1"/>
    <col min="13823" max="13823" width="28.5546875" style="22" customWidth="1"/>
    <col min="13824" max="13824" width="20.109375" style="22" customWidth="1"/>
    <col min="13825" max="13830" width="16.44140625" style="22" customWidth="1"/>
    <col min="13831" max="13832" width="10" style="22" bestFit="1" customWidth="1"/>
    <col min="13833" max="14077" width="9.109375" style="22"/>
    <col min="14078" max="14078" width="20.109375" style="22" customWidth="1"/>
    <col min="14079" max="14079" width="28.5546875" style="22" customWidth="1"/>
    <col min="14080" max="14080" width="20.109375" style="22" customWidth="1"/>
    <col min="14081" max="14086" width="16.44140625" style="22" customWidth="1"/>
    <col min="14087" max="14088" width="10" style="22" bestFit="1" customWidth="1"/>
    <col min="14089" max="14333" width="9.109375" style="22"/>
    <col min="14334" max="14334" width="20.109375" style="22" customWidth="1"/>
    <col min="14335" max="14335" width="28.5546875" style="22" customWidth="1"/>
    <col min="14336" max="14336" width="20.109375" style="22" customWidth="1"/>
    <col min="14337" max="14342" width="16.44140625" style="22" customWidth="1"/>
    <col min="14343" max="14344" width="10" style="22" bestFit="1" customWidth="1"/>
    <col min="14345" max="14589" width="9.109375" style="22"/>
    <col min="14590" max="14590" width="20.109375" style="22" customWidth="1"/>
    <col min="14591" max="14591" width="28.5546875" style="22" customWidth="1"/>
    <col min="14592" max="14592" width="20.109375" style="22" customWidth="1"/>
    <col min="14593" max="14598" width="16.44140625" style="22" customWidth="1"/>
    <col min="14599" max="14600" width="10" style="22" bestFit="1" customWidth="1"/>
    <col min="14601" max="14845" width="9.109375" style="22"/>
    <col min="14846" max="14846" width="20.109375" style="22" customWidth="1"/>
    <col min="14847" max="14847" width="28.5546875" style="22" customWidth="1"/>
    <col min="14848" max="14848" width="20.109375" style="22" customWidth="1"/>
    <col min="14849" max="14854" width="16.44140625" style="22" customWidth="1"/>
    <col min="14855" max="14856" width="10" style="22" bestFit="1" customWidth="1"/>
    <col min="14857" max="15101" width="9.109375" style="22"/>
    <col min="15102" max="15102" width="20.109375" style="22" customWidth="1"/>
    <col min="15103" max="15103" width="28.5546875" style="22" customWidth="1"/>
    <col min="15104" max="15104" width="20.109375" style="22" customWidth="1"/>
    <col min="15105" max="15110" width="16.44140625" style="22" customWidth="1"/>
    <col min="15111" max="15112" width="10" style="22" bestFit="1" customWidth="1"/>
    <col min="15113" max="15357" width="9.109375" style="22"/>
    <col min="15358" max="15358" width="20.109375" style="22" customWidth="1"/>
    <col min="15359" max="15359" width="28.5546875" style="22" customWidth="1"/>
    <col min="15360" max="15360" width="20.109375" style="22" customWidth="1"/>
    <col min="15361" max="15366" width="16.44140625" style="22" customWidth="1"/>
    <col min="15367" max="15368" width="10" style="22" bestFit="1" customWidth="1"/>
    <col min="15369" max="15613" width="9.109375" style="22"/>
    <col min="15614" max="15614" width="20.109375" style="22" customWidth="1"/>
    <col min="15615" max="15615" width="28.5546875" style="22" customWidth="1"/>
    <col min="15616" max="15616" width="20.109375" style="22" customWidth="1"/>
    <col min="15617" max="15622" width="16.44140625" style="22" customWidth="1"/>
    <col min="15623" max="15624" width="10" style="22" bestFit="1" customWidth="1"/>
    <col min="15625" max="15869" width="9.109375" style="22"/>
    <col min="15870" max="15870" width="20.109375" style="22" customWidth="1"/>
    <col min="15871" max="15871" width="28.5546875" style="22" customWidth="1"/>
    <col min="15872" max="15872" width="20.109375" style="22" customWidth="1"/>
    <col min="15873" max="15878" width="16.44140625" style="22" customWidth="1"/>
    <col min="15879" max="15880" width="10" style="22" bestFit="1" customWidth="1"/>
    <col min="15881" max="16125" width="9.109375" style="22"/>
    <col min="16126" max="16126" width="20.109375" style="22" customWidth="1"/>
    <col min="16127" max="16127" width="28.5546875" style="22" customWidth="1"/>
    <col min="16128" max="16128" width="20.109375" style="22" customWidth="1"/>
    <col min="16129" max="16134" width="16.44140625" style="22" customWidth="1"/>
    <col min="16135" max="16136" width="10" style="22" bestFit="1" customWidth="1"/>
    <col min="16137" max="16377" width="9.109375" style="22"/>
    <col min="16378" max="16381" width="9.109375" style="22" customWidth="1"/>
    <col min="16382" max="16384" width="9.109375" style="22"/>
  </cols>
  <sheetData>
    <row r="1" spans="1:6" ht="24" customHeight="1" x14ac:dyDescent="0.25">
      <c r="A1" s="515" t="s">
        <v>17</v>
      </c>
      <c r="B1" s="516"/>
      <c r="C1" s="516"/>
      <c r="D1" s="516"/>
      <c r="E1" s="516"/>
      <c r="F1" s="517"/>
    </row>
    <row r="2" spans="1:6" s="23" customFormat="1" ht="24" customHeight="1" x14ac:dyDescent="0.25">
      <c r="A2" s="553"/>
      <c r="B2" s="554"/>
      <c r="C2" s="554"/>
      <c r="D2" s="554"/>
      <c r="E2" s="554"/>
      <c r="F2" s="555"/>
    </row>
    <row r="3" spans="1:6" s="142" customFormat="1" ht="15" customHeight="1" x14ac:dyDescent="0.25">
      <c r="A3" s="584" t="str">
        <f>' ORÇAMENTO'!A3:D3</f>
        <v>PROPRIETÁRIO:</v>
      </c>
      <c r="B3" s="585"/>
      <c r="C3" s="586"/>
      <c r="D3" s="587" t="s">
        <v>56</v>
      </c>
      <c r="E3" s="579"/>
      <c r="F3" s="170"/>
    </row>
    <row r="4" spans="1:6" s="142" customFormat="1" ht="15" customHeight="1" x14ac:dyDescent="0.25">
      <c r="A4" s="581" t="str">
        <f>' ORÇAMENTO'!A4:D4</f>
        <v>Prefeitura Municipal do Carpina</v>
      </c>
      <c r="B4" s="582"/>
      <c r="C4" s="583"/>
      <c r="D4" s="588"/>
      <c r="E4" s="582"/>
      <c r="F4" s="171"/>
    </row>
    <row r="5" spans="1:6" s="142" customFormat="1" ht="15" customHeight="1" x14ac:dyDescent="0.25">
      <c r="A5" s="578" t="str">
        <f>' ORÇAMENTO'!A5:I5</f>
        <v>OBRA:</v>
      </c>
      <c r="B5" s="579"/>
      <c r="C5" s="579"/>
      <c r="D5" s="579"/>
      <c r="E5" s="579"/>
      <c r="F5" s="170"/>
    </row>
    <row r="6" spans="1:6" s="142" customFormat="1" ht="15" customHeight="1" x14ac:dyDescent="0.25">
      <c r="A6" s="581" t="str">
        <f>' ORÇAMENTO'!A6:I6</f>
        <v>REVITALIZAÇÃO DO PÁTIO J. CÂNDIDO EM CARPINA</v>
      </c>
      <c r="B6" s="582"/>
      <c r="C6" s="582"/>
      <c r="D6" s="582"/>
      <c r="E6" s="582"/>
      <c r="F6" s="172"/>
    </row>
    <row r="7" spans="1:6" s="142" customFormat="1" ht="15" customHeight="1" x14ac:dyDescent="0.25">
      <c r="A7" s="578" t="str">
        <f>' ORÇAMENTO'!A7:I7</f>
        <v>LOCALIZAÇÃO:</v>
      </c>
      <c r="B7" s="579"/>
      <c r="C7" s="579"/>
      <c r="D7" s="579"/>
      <c r="E7" s="579"/>
      <c r="F7" s="173"/>
    </row>
    <row r="8" spans="1:6" s="142" customFormat="1" ht="15" customHeight="1" x14ac:dyDescent="0.25">
      <c r="A8" s="581" t="str">
        <f>' ORÇAMENTO'!A8:I8</f>
        <v>AV. SEVERIANO JOSÉ FREIRE, CARPINA - PE</v>
      </c>
      <c r="B8" s="582"/>
      <c r="C8" s="582"/>
      <c r="D8" s="582"/>
      <c r="E8" s="582"/>
      <c r="F8" s="172"/>
    </row>
    <row r="9" spans="1:6" s="142" customFormat="1" ht="15" customHeight="1" x14ac:dyDescent="0.25">
      <c r="A9" s="584" t="str">
        <f>' ORÇAMENTO'!A9:D9</f>
        <v xml:space="preserve">CONCEDENTE: </v>
      </c>
      <c r="B9" s="585"/>
      <c r="C9" s="586"/>
      <c r="D9" s="132" t="s">
        <v>60</v>
      </c>
      <c r="E9" s="116" t="s">
        <v>61</v>
      </c>
      <c r="F9" s="173"/>
    </row>
    <row r="10" spans="1:6" s="142" customFormat="1" ht="15" customHeight="1" x14ac:dyDescent="0.25">
      <c r="A10" s="575" t="str">
        <f>' ORÇAMENTO'!A10:D10</f>
        <v>MINISTÉRIO DO TURISMO</v>
      </c>
      <c r="B10" s="576"/>
      <c r="C10" s="577"/>
      <c r="D10" s="384">
        <v>243750</v>
      </c>
      <c r="E10" s="384" t="s">
        <v>146</v>
      </c>
      <c r="F10" s="398"/>
    </row>
    <row r="11" spans="1:6" s="142" customFormat="1" ht="15" customHeight="1" x14ac:dyDescent="0.25">
      <c r="A11" s="578" t="str">
        <f>' ORÇAMENTO'!A11:D11</f>
        <v>TABELA DE PREÇOS:</v>
      </c>
      <c r="B11" s="579"/>
      <c r="C11" s="580"/>
      <c r="D11" s="117" t="s">
        <v>63</v>
      </c>
      <c r="E11" s="116" t="s">
        <v>64</v>
      </c>
      <c r="F11" s="173"/>
    </row>
    <row r="12" spans="1:6" s="142" customFormat="1" ht="15" customHeight="1" x14ac:dyDescent="0.25">
      <c r="A12" s="581" t="str">
        <f>' ORÇAMENTO'!A12:D12</f>
        <v>SINAPI DESONERADA (FEV/17) E ORSE (JAN/17)</v>
      </c>
      <c r="B12" s="582"/>
      <c r="C12" s="583"/>
      <c r="D12" s="382">
        <f>'BDI SERVIÇO'!D24</f>
        <v>0.25215503759149449</v>
      </c>
      <c r="E12" s="133">
        <f>' ORÇAMENTO'!H12</f>
        <v>42826</v>
      </c>
      <c r="F12" s="172"/>
    </row>
    <row r="13" spans="1:6" s="142" customFormat="1" ht="15" customHeight="1" x14ac:dyDescent="0.25">
      <c r="A13" s="578" t="str">
        <f>' ORÇAMENTO'!A13:D13</f>
        <v>RESPONSÁVEL TÉCNICO:</v>
      </c>
      <c r="B13" s="579"/>
      <c r="C13" s="580"/>
      <c r="D13" s="119" t="s">
        <v>66</v>
      </c>
      <c r="E13" s="116" t="s">
        <v>67</v>
      </c>
      <c r="F13" s="173"/>
    </row>
    <row r="14" spans="1:6" s="142" customFormat="1" ht="15" customHeight="1" x14ac:dyDescent="0.25">
      <c r="A14" s="581" t="str">
        <f>' ORÇAMENTO'!A14:D14</f>
        <v>Leonardo Menezes de Sá</v>
      </c>
      <c r="B14" s="582"/>
      <c r="C14" s="583"/>
      <c r="D14" s="120" t="s">
        <v>70</v>
      </c>
      <c r="E14" s="115"/>
      <c r="F14" s="172"/>
    </row>
    <row r="15" spans="1:6" ht="15" customHeight="1" x14ac:dyDescent="0.25">
      <c r="A15" s="573"/>
      <c r="B15" s="574"/>
      <c r="C15" s="574"/>
      <c r="D15" s="574"/>
      <c r="E15" s="574"/>
      <c r="F15" s="174"/>
    </row>
    <row r="16" spans="1:6" s="25" customFormat="1" ht="15" customHeight="1" thickBot="1" x14ac:dyDescent="0.25">
      <c r="A16" s="599" t="s">
        <v>18</v>
      </c>
      <c r="B16" s="599" t="s">
        <v>19</v>
      </c>
      <c r="C16" s="599" t="s">
        <v>21</v>
      </c>
      <c r="D16" s="594" t="s">
        <v>20</v>
      </c>
      <c r="E16" s="595"/>
      <c r="F16" s="596"/>
    </row>
    <row r="17" spans="1:8" s="25" customFormat="1" ht="15" customHeight="1" thickTop="1" thickBot="1" x14ac:dyDescent="0.25">
      <c r="A17" s="600"/>
      <c r="B17" s="600" t="s">
        <v>19</v>
      </c>
      <c r="C17" s="600" t="s">
        <v>21</v>
      </c>
      <c r="D17" s="109" t="s">
        <v>38</v>
      </c>
      <c r="E17" s="109" t="s">
        <v>39</v>
      </c>
      <c r="F17" s="175" t="s">
        <v>40</v>
      </c>
    </row>
    <row r="18" spans="1:8" s="27" customFormat="1" ht="11.4" thickTop="1" x14ac:dyDescent="0.25">
      <c r="A18" s="50" t="s">
        <v>5</v>
      </c>
      <c r="B18" s="30" t="str">
        <f>'MEMÓRIA E ORÇAMENTO'!D19</f>
        <v>SERVIÇOS PRELIMINARES</v>
      </c>
      <c r="C18" s="31">
        <f>' ORÇAMENTO'!I20</f>
        <v>9962.9844229531154</v>
      </c>
      <c r="D18" s="32">
        <f>ROUND($C18*D19,2)</f>
        <v>9962.98</v>
      </c>
      <c r="E18" s="4"/>
      <c r="F18" s="51"/>
      <c r="G18" s="26">
        <f>SUM(D18:F18)</f>
        <v>9962.98</v>
      </c>
      <c r="H18" s="26"/>
    </row>
    <row r="19" spans="1:8" s="27" customFormat="1" x14ac:dyDescent="0.25">
      <c r="A19" s="52"/>
      <c r="B19" s="6"/>
      <c r="C19" s="4"/>
      <c r="D19" s="33">
        <v>1</v>
      </c>
      <c r="E19" s="28"/>
      <c r="F19" s="53"/>
      <c r="G19" s="26">
        <f>D19</f>
        <v>1</v>
      </c>
      <c r="H19" s="26"/>
    </row>
    <row r="20" spans="1:8" s="27" customFormat="1" x14ac:dyDescent="0.25">
      <c r="A20" s="52"/>
      <c r="B20" s="6"/>
      <c r="C20" s="4"/>
      <c r="D20" s="28"/>
      <c r="E20" s="28"/>
      <c r="F20" s="53"/>
      <c r="G20" s="26"/>
      <c r="H20" s="26"/>
    </row>
    <row r="21" spans="1:8" s="34" customFormat="1" x14ac:dyDescent="0.25">
      <c r="A21" s="50" t="s">
        <v>9</v>
      </c>
      <c r="B21" s="30" t="str">
        <f>' ORÇAMENTO'!D25</f>
        <v>PISO DO PÁTIO DE EVENTOS</v>
      </c>
      <c r="C21" s="31">
        <f>' ORÇAMENTO'!I25</f>
        <v>114212.18645821702</v>
      </c>
      <c r="D21" s="32">
        <f>ROUND($C21*D22,2)</f>
        <v>45684.87</v>
      </c>
      <c r="E21" s="32">
        <f>ROUND($C21*E22,2)</f>
        <v>51395.48</v>
      </c>
      <c r="F21" s="399">
        <f>ROUND($C21*F22,2)</f>
        <v>17131.830000000002</v>
      </c>
      <c r="G21" s="26">
        <f>SUM(D21:F21)</f>
        <v>114212.18000000001</v>
      </c>
      <c r="H21" s="26"/>
    </row>
    <row r="22" spans="1:8" s="27" customFormat="1" x14ac:dyDescent="0.25">
      <c r="A22" s="52"/>
      <c r="B22" s="29"/>
      <c r="C22" s="3"/>
      <c r="D22" s="33">
        <v>0.4</v>
      </c>
      <c r="E22" s="33">
        <v>0.45</v>
      </c>
      <c r="F22" s="400">
        <v>0.15</v>
      </c>
      <c r="G22" s="26">
        <f>D22</f>
        <v>0.4</v>
      </c>
      <c r="H22" s="26"/>
    </row>
    <row r="23" spans="1:8" s="27" customFormat="1" x14ac:dyDescent="0.25">
      <c r="A23" s="52"/>
      <c r="B23" s="6"/>
      <c r="C23" s="3"/>
      <c r="D23" s="4"/>
      <c r="E23" s="4"/>
      <c r="F23" s="51"/>
      <c r="H23" s="26"/>
    </row>
    <row r="24" spans="1:8" s="34" customFormat="1" x14ac:dyDescent="0.25">
      <c r="A24" s="54" t="s">
        <v>11</v>
      </c>
      <c r="B24" s="30" t="str">
        <f>'MEMÓRIA E ORÇAMENTO'!D54</f>
        <v>CALÇADA</v>
      </c>
      <c r="C24" s="31">
        <f>' ORÇAMENTO'!I33</f>
        <v>52183.925272481589</v>
      </c>
      <c r="D24" s="32">
        <f>ROUND($C24*D25,2)</f>
        <v>5218.3900000000003</v>
      </c>
      <c r="E24" s="32">
        <f>ROUND($C24*E25,2)</f>
        <v>10436.790000000001</v>
      </c>
      <c r="F24" s="399">
        <f>ROUND($C24*F25,2)</f>
        <v>36528.75</v>
      </c>
      <c r="G24" s="26">
        <f>SUM(D24:F24)</f>
        <v>52183.93</v>
      </c>
      <c r="H24" s="26"/>
    </row>
    <row r="25" spans="1:8" s="27" customFormat="1" x14ac:dyDescent="0.25">
      <c r="A25" s="52"/>
      <c r="B25" s="29"/>
      <c r="C25" s="3"/>
      <c r="D25" s="33">
        <v>0.1</v>
      </c>
      <c r="E25" s="33">
        <v>0.2</v>
      </c>
      <c r="F25" s="400">
        <v>0.7</v>
      </c>
      <c r="G25" s="26">
        <f>SUM(D25:F25)</f>
        <v>1</v>
      </c>
      <c r="H25" s="26"/>
    </row>
    <row r="26" spans="1:8" s="27" customFormat="1" x14ac:dyDescent="0.25">
      <c r="A26" s="52"/>
      <c r="B26" s="6"/>
      <c r="C26" s="3"/>
      <c r="D26" s="4"/>
      <c r="E26" s="4"/>
      <c r="F26" s="51"/>
      <c r="H26" s="26"/>
    </row>
    <row r="27" spans="1:8" s="34" customFormat="1" x14ac:dyDescent="0.25">
      <c r="A27" s="54" t="s">
        <v>166</v>
      </c>
      <c r="B27" s="30" t="str">
        <f>'MEMÓRIA E ORÇAMENTO'!D57</f>
        <v>ÁREA DE LAJOTA DA CALÇADA E RAMPA FRONTAL</v>
      </c>
      <c r="C27" s="31">
        <f>' ORÇAMENTO'!I41</f>
        <v>21420.582808059746</v>
      </c>
      <c r="D27" s="28"/>
      <c r="E27" s="28"/>
      <c r="F27" s="399">
        <f>C27</f>
        <v>21420.582808059746</v>
      </c>
      <c r="G27" s="26">
        <f>SUM(D27:F27)</f>
        <v>21420.582808059746</v>
      </c>
      <c r="H27" s="26"/>
    </row>
    <row r="28" spans="1:8" s="27" customFormat="1" x14ac:dyDescent="0.25">
      <c r="A28" s="52"/>
      <c r="B28" s="29"/>
      <c r="C28" s="3"/>
      <c r="D28" s="35"/>
      <c r="E28" s="35"/>
      <c r="F28" s="400">
        <v>1</v>
      </c>
      <c r="G28" s="26">
        <f>SUM(D28:F28)</f>
        <v>1</v>
      </c>
      <c r="H28" s="26"/>
    </row>
    <row r="29" spans="1:8" s="27" customFormat="1" x14ac:dyDescent="0.25">
      <c r="A29" s="52"/>
      <c r="B29" s="6"/>
      <c r="C29" s="3"/>
      <c r="D29" s="4"/>
      <c r="E29" s="4"/>
      <c r="F29" s="51"/>
      <c r="H29" s="26"/>
    </row>
    <row r="30" spans="1:8" s="27" customFormat="1" x14ac:dyDescent="0.25">
      <c r="A30" s="52"/>
      <c r="B30" s="63" t="s">
        <v>4</v>
      </c>
      <c r="C30" s="32">
        <f>SUM(C18:C27)</f>
        <v>197779.67896171147</v>
      </c>
      <c r="D30" s="28"/>
      <c r="E30" s="28"/>
      <c r="F30" s="53"/>
      <c r="G30" s="26"/>
      <c r="H30" s="26"/>
    </row>
    <row r="31" spans="1:8" s="27" customFormat="1" x14ac:dyDescent="0.25">
      <c r="A31" s="55"/>
      <c r="B31" s="36"/>
      <c r="C31" s="37"/>
      <c r="D31" s="35"/>
      <c r="E31" s="35"/>
      <c r="F31" s="56"/>
    </row>
    <row r="32" spans="1:8" s="39" customFormat="1" x14ac:dyDescent="0.25">
      <c r="A32" s="597" t="s">
        <v>22</v>
      </c>
      <c r="B32" s="598"/>
      <c r="C32" s="598"/>
      <c r="D32" s="38">
        <f>D18+D21+D24</f>
        <v>60866.240000000005</v>
      </c>
      <c r="E32" s="38">
        <f>E18+E21+E24</f>
        <v>61832.270000000004</v>
      </c>
      <c r="F32" s="176">
        <f>F18+F24+F21+F27</f>
        <v>75081.162808059744</v>
      </c>
      <c r="G32" s="26">
        <f>D32+E32+F32</f>
        <v>197779.67280805975</v>
      </c>
    </row>
    <row r="33" spans="1:9" s="41" customFormat="1" x14ac:dyDescent="0.25">
      <c r="A33" s="52"/>
      <c r="B33" s="2"/>
      <c r="C33" s="2"/>
      <c r="D33" s="40">
        <f>D32/($C$30)</f>
        <v>0.3077476933905996</v>
      </c>
      <c r="E33" s="40">
        <f t="shared" ref="E33:F33" si="0">E32/($C$30)</f>
        <v>0.3126320677867529</v>
      </c>
      <c r="F33" s="177">
        <f t="shared" si="0"/>
        <v>0.37962020770897725</v>
      </c>
      <c r="G33" s="26">
        <f>SUM(D33:F33)</f>
        <v>0.99999996888632969</v>
      </c>
    </row>
    <row r="34" spans="1:9" s="41" customFormat="1" ht="10.199999999999999" x14ac:dyDescent="0.2">
      <c r="A34" s="52"/>
      <c r="B34" s="2"/>
      <c r="C34" s="2"/>
      <c r="D34" s="4"/>
      <c r="E34" s="4"/>
      <c r="F34" s="51"/>
    </row>
    <row r="35" spans="1:9" s="39" customFormat="1" x14ac:dyDescent="0.25">
      <c r="A35" s="597" t="s">
        <v>32</v>
      </c>
      <c r="B35" s="598"/>
      <c r="C35" s="598"/>
      <c r="D35" s="38">
        <f>D32</f>
        <v>60866.240000000005</v>
      </c>
      <c r="E35" s="38">
        <f>E32+D35</f>
        <v>122698.51000000001</v>
      </c>
      <c r="F35" s="176">
        <f>F32+E35</f>
        <v>197779.67280805975</v>
      </c>
      <c r="G35" s="26"/>
    </row>
    <row r="36" spans="1:9" s="41" customFormat="1" x14ac:dyDescent="0.25">
      <c r="A36" s="52"/>
      <c r="B36" s="2"/>
      <c r="C36" s="2"/>
      <c r="D36" s="40">
        <f>D35/($C$30)</f>
        <v>0.3077476933905996</v>
      </c>
      <c r="E36" s="40">
        <f t="shared" ref="E36:F36" si="1">E35/($C$30)</f>
        <v>0.6203797611773525</v>
      </c>
      <c r="F36" s="177">
        <f t="shared" si="1"/>
        <v>0.99999996888632969</v>
      </c>
      <c r="G36" s="26"/>
    </row>
    <row r="37" spans="1:9" s="41" customFormat="1" thickBot="1" x14ac:dyDescent="0.25">
      <c r="A37" s="57"/>
      <c r="B37" s="42"/>
      <c r="C37" s="42"/>
      <c r="D37" s="43"/>
      <c r="E37" s="43"/>
      <c r="F37" s="58"/>
    </row>
    <row r="38" spans="1:9" s="44" customFormat="1" ht="16.5" customHeight="1" thickTop="1" thickBot="1" x14ac:dyDescent="0.25">
      <c r="A38" s="589" t="s">
        <v>23</v>
      </c>
      <c r="B38" s="590"/>
      <c r="C38" s="590"/>
      <c r="D38" s="591">
        <f>C30</f>
        <v>197779.67896171147</v>
      </c>
      <c r="E38" s="592"/>
      <c r="F38" s="593"/>
      <c r="H38" s="38"/>
      <c r="I38" s="38"/>
    </row>
    <row r="41" spans="1:9" x14ac:dyDescent="0.25">
      <c r="C41" s="61"/>
      <c r="D41" s="60"/>
      <c r="E41" s="60"/>
    </row>
    <row r="43" spans="1:9" ht="13.2" x14ac:dyDescent="0.25">
      <c r="D43" s="24"/>
      <c r="E43" s="24"/>
    </row>
  </sheetData>
  <mergeCells count="24">
    <mergeCell ref="A38:C38"/>
    <mergeCell ref="D38:F38"/>
    <mergeCell ref="D16:F16"/>
    <mergeCell ref="A32:C32"/>
    <mergeCell ref="A35:C35"/>
    <mergeCell ref="A16:A17"/>
    <mergeCell ref="B16:B17"/>
    <mergeCell ref="C16:C17"/>
    <mergeCell ref="A15:E15"/>
    <mergeCell ref="A1:F2"/>
    <mergeCell ref="A10:C10"/>
    <mergeCell ref="A11:C11"/>
    <mergeCell ref="A12:C12"/>
    <mergeCell ref="A13:C13"/>
    <mergeCell ref="A14:C14"/>
    <mergeCell ref="A5:E5"/>
    <mergeCell ref="A6:E6"/>
    <mergeCell ref="A7:E7"/>
    <mergeCell ref="A8:E8"/>
    <mergeCell ref="A9:C9"/>
    <mergeCell ref="A3:C3"/>
    <mergeCell ref="D3:E3"/>
    <mergeCell ref="A4:C4"/>
    <mergeCell ref="D4:E4"/>
  </mergeCells>
  <printOptions horizontalCentered="1"/>
  <pageMargins left="0.59055118110236227" right="0.39370078740157483" top="1.3779527559055118" bottom="0.59055118110236227" header="0.39370078740157483" footer="0.39370078740157483"/>
  <pageSetup paperSize="9" scale="85" fitToHeight="0" orientation="portrait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view="pageBreakPreview" zoomScaleSheetLayoutView="100" workbookViewId="0">
      <selection activeCell="G13" sqref="G13"/>
    </sheetView>
  </sheetViews>
  <sheetFormatPr defaultColWidth="8" defaultRowHeight="12.75" customHeight="1" x14ac:dyDescent="0.25"/>
  <cols>
    <col min="1" max="1" width="30.6640625" style="83" customWidth="1"/>
    <col min="2" max="2" width="10.109375" style="83" customWidth="1"/>
    <col min="3" max="3" width="12" style="83" customWidth="1"/>
    <col min="4" max="4" width="17.6640625" style="96" customWidth="1"/>
    <col min="5" max="5" width="17.6640625" style="83" customWidth="1"/>
    <col min="6" max="6" width="21.5546875" style="130" customWidth="1"/>
    <col min="7" max="7" width="13.109375" style="127" bestFit="1" customWidth="1"/>
    <col min="8" max="18" width="8" style="126"/>
    <col min="19" max="256" width="8" style="89"/>
    <col min="257" max="257" width="25" style="89" customWidth="1"/>
    <col min="258" max="258" width="10.109375" style="89" customWidth="1"/>
    <col min="259" max="259" width="12" style="89" customWidth="1"/>
    <col min="260" max="260" width="16.44140625" style="89" customWidth="1"/>
    <col min="261" max="261" width="22.33203125" style="89" customWidth="1"/>
    <col min="262" max="262" width="21.5546875" style="89" customWidth="1"/>
    <col min="263" max="263" width="13.109375" style="89" bestFit="1" customWidth="1"/>
    <col min="264" max="512" width="8" style="89"/>
    <col min="513" max="513" width="25" style="89" customWidth="1"/>
    <col min="514" max="514" width="10.109375" style="89" customWidth="1"/>
    <col min="515" max="515" width="12" style="89" customWidth="1"/>
    <col min="516" max="516" width="16.44140625" style="89" customWidth="1"/>
    <col min="517" max="517" width="22.33203125" style="89" customWidth="1"/>
    <col min="518" max="518" width="21.5546875" style="89" customWidth="1"/>
    <col min="519" max="519" width="13.109375" style="89" bestFit="1" customWidth="1"/>
    <col min="520" max="768" width="8" style="89"/>
    <col min="769" max="769" width="25" style="89" customWidth="1"/>
    <col min="770" max="770" width="10.109375" style="89" customWidth="1"/>
    <col min="771" max="771" width="12" style="89" customWidth="1"/>
    <col min="772" max="772" width="16.44140625" style="89" customWidth="1"/>
    <col min="773" max="773" width="22.33203125" style="89" customWidth="1"/>
    <col min="774" max="774" width="21.5546875" style="89" customWidth="1"/>
    <col min="775" max="775" width="13.109375" style="89" bestFit="1" customWidth="1"/>
    <col min="776" max="1024" width="8" style="89"/>
    <col min="1025" max="1025" width="25" style="89" customWidth="1"/>
    <col min="1026" max="1026" width="10.109375" style="89" customWidth="1"/>
    <col min="1027" max="1027" width="12" style="89" customWidth="1"/>
    <col min="1028" max="1028" width="16.44140625" style="89" customWidth="1"/>
    <col min="1029" max="1029" width="22.33203125" style="89" customWidth="1"/>
    <col min="1030" max="1030" width="21.5546875" style="89" customWidth="1"/>
    <col min="1031" max="1031" width="13.109375" style="89" bestFit="1" customWidth="1"/>
    <col min="1032" max="1280" width="8" style="89"/>
    <col min="1281" max="1281" width="25" style="89" customWidth="1"/>
    <col min="1282" max="1282" width="10.109375" style="89" customWidth="1"/>
    <col min="1283" max="1283" width="12" style="89" customWidth="1"/>
    <col min="1284" max="1284" width="16.44140625" style="89" customWidth="1"/>
    <col min="1285" max="1285" width="22.33203125" style="89" customWidth="1"/>
    <col min="1286" max="1286" width="21.5546875" style="89" customWidth="1"/>
    <col min="1287" max="1287" width="13.109375" style="89" bestFit="1" customWidth="1"/>
    <col min="1288" max="1536" width="8" style="89"/>
    <col min="1537" max="1537" width="25" style="89" customWidth="1"/>
    <col min="1538" max="1538" width="10.109375" style="89" customWidth="1"/>
    <col min="1539" max="1539" width="12" style="89" customWidth="1"/>
    <col min="1540" max="1540" width="16.44140625" style="89" customWidth="1"/>
    <col min="1541" max="1541" width="22.33203125" style="89" customWidth="1"/>
    <col min="1542" max="1542" width="21.5546875" style="89" customWidth="1"/>
    <col min="1543" max="1543" width="13.109375" style="89" bestFit="1" customWidth="1"/>
    <col min="1544" max="1792" width="8" style="89"/>
    <col min="1793" max="1793" width="25" style="89" customWidth="1"/>
    <col min="1794" max="1794" width="10.109375" style="89" customWidth="1"/>
    <col min="1795" max="1795" width="12" style="89" customWidth="1"/>
    <col min="1796" max="1796" width="16.44140625" style="89" customWidth="1"/>
    <col min="1797" max="1797" width="22.33203125" style="89" customWidth="1"/>
    <col min="1798" max="1798" width="21.5546875" style="89" customWidth="1"/>
    <col min="1799" max="1799" width="13.109375" style="89" bestFit="1" customWidth="1"/>
    <col min="1800" max="2048" width="8" style="89"/>
    <col min="2049" max="2049" width="25" style="89" customWidth="1"/>
    <col min="2050" max="2050" width="10.109375" style="89" customWidth="1"/>
    <col min="2051" max="2051" width="12" style="89" customWidth="1"/>
    <col min="2052" max="2052" width="16.44140625" style="89" customWidth="1"/>
    <col min="2053" max="2053" width="22.33203125" style="89" customWidth="1"/>
    <col min="2054" max="2054" width="21.5546875" style="89" customWidth="1"/>
    <col min="2055" max="2055" width="13.109375" style="89" bestFit="1" customWidth="1"/>
    <col min="2056" max="2304" width="8" style="89"/>
    <col min="2305" max="2305" width="25" style="89" customWidth="1"/>
    <col min="2306" max="2306" width="10.109375" style="89" customWidth="1"/>
    <col min="2307" max="2307" width="12" style="89" customWidth="1"/>
    <col min="2308" max="2308" width="16.44140625" style="89" customWidth="1"/>
    <col min="2309" max="2309" width="22.33203125" style="89" customWidth="1"/>
    <col min="2310" max="2310" width="21.5546875" style="89" customWidth="1"/>
    <col min="2311" max="2311" width="13.109375" style="89" bestFit="1" customWidth="1"/>
    <col min="2312" max="2560" width="8" style="89"/>
    <col min="2561" max="2561" width="25" style="89" customWidth="1"/>
    <col min="2562" max="2562" width="10.109375" style="89" customWidth="1"/>
    <col min="2563" max="2563" width="12" style="89" customWidth="1"/>
    <col min="2564" max="2564" width="16.44140625" style="89" customWidth="1"/>
    <col min="2565" max="2565" width="22.33203125" style="89" customWidth="1"/>
    <col min="2566" max="2566" width="21.5546875" style="89" customWidth="1"/>
    <col min="2567" max="2567" width="13.109375" style="89" bestFit="1" customWidth="1"/>
    <col min="2568" max="2816" width="8" style="89"/>
    <col min="2817" max="2817" width="25" style="89" customWidth="1"/>
    <col min="2818" max="2818" width="10.109375" style="89" customWidth="1"/>
    <col min="2819" max="2819" width="12" style="89" customWidth="1"/>
    <col min="2820" max="2820" width="16.44140625" style="89" customWidth="1"/>
    <col min="2821" max="2821" width="22.33203125" style="89" customWidth="1"/>
    <col min="2822" max="2822" width="21.5546875" style="89" customWidth="1"/>
    <col min="2823" max="2823" width="13.109375" style="89" bestFit="1" customWidth="1"/>
    <col min="2824" max="3072" width="8" style="89"/>
    <col min="3073" max="3073" width="25" style="89" customWidth="1"/>
    <col min="3074" max="3074" width="10.109375" style="89" customWidth="1"/>
    <col min="3075" max="3075" width="12" style="89" customWidth="1"/>
    <col min="3076" max="3076" width="16.44140625" style="89" customWidth="1"/>
    <col min="3077" max="3077" width="22.33203125" style="89" customWidth="1"/>
    <col min="3078" max="3078" width="21.5546875" style="89" customWidth="1"/>
    <col min="3079" max="3079" width="13.109375" style="89" bestFit="1" customWidth="1"/>
    <col min="3080" max="3328" width="8" style="89"/>
    <col min="3329" max="3329" width="25" style="89" customWidth="1"/>
    <col min="3330" max="3330" width="10.109375" style="89" customWidth="1"/>
    <col min="3331" max="3331" width="12" style="89" customWidth="1"/>
    <col min="3332" max="3332" width="16.44140625" style="89" customWidth="1"/>
    <col min="3333" max="3333" width="22.33203125" style="89" customWidth="1"/>
    <col min="3334" max="3334" width="21.5546875" style="89" customWidth="1"/>
    <col min="3335" max="3335" width="13.109375" style="89" bestFit="1" customWidth="1"/>
    <col min="3336" max="3584" width="8" style="89"/>
    <col min="3585" max="3585" width="25" style="89" customWidth="1"/>
    <col min="3586" max="3586" width="10.109375" style="89" customWidth="1"/>
    <col min="3587" max="3587" width="12" style="89" customWidth="1"/>
    <col min="3588" max="3588" width="16.44140625" style="89" customWidth="1"/>
    <col min="3589" max="3589" width="22.33203125" style="89" customWidth="1"/>
    <col min="3590" max="3590" width="21.5546875" style="89" customWidth="1"/>
    <col min="3591" max="3591" width="13.109375" style="89" bestFit="1" customWidth="1"/>
    <col min="3592" max="3840" width="8" style="89"/>
    <col min="3841" max="3841" width="25" style="89" customWidth="1"/>
    <col min="3842" max="3842" width="10.109375" style="89" customWidth="1"/>
    <col min="3843" max="3843" width="12" style="89" customWidth="1"/>
    <col min="3844" max="3844" width="16.44140625" style="89" customWidth="1"/>
    <col min="3845" max="3845" width="22.33203125" style="89" customWidth="1"/>
    <col min="3846" max="3846" width="21.5546875" style="89" customWidth="1"/>
    <col min="3847" max="3847" width="13.109375" style="89" bestFit="1" customWidth="1"/>
    <col min="3848" max="4096" width="8" style="89"/>
    <col min="4097" max="4097" width="25" style="89" customWidth="1"/>
    <col min="4098" max="4098" width="10.109375" style="89" customWidth="1"/>
    <col min="4099" max="4099" width="12" style="89" customWidth="1"/>
    <col min="4100" max="4100" width="16.44140625" style="89" customWidth="1"/>
    <col min="4101" max="4101" width="22.33203125" style="89" customWidth="1"/>
    <col min="4102" max="4102" width="21.5546875" style="89" customWidth="1"/>
    <col min="4103" max="4103" width="13.109375" style="89" bestFit="1" customWidth="1"/>
    <col min="4104" max="4352" width="8" style="89"/>
    <col min="4353" max="4353" width="25" style="89" customWidth="1"/>
    <col min="4354" max="4354" width="10.109375" style="89" customWidth="1"/>
    <col min="4355" max="4355" width="12" style="89" customWidth="1"/>
    <col min="4356" max="4356" width="16.44140625" style="89" customWidth="1"/>
    <col min="4357" max="4357" width="22.33203125" style="89" customWidth="1"/>
    <col min="4358" max="4358" width="21.5546875" style="89" customWidth="1"/>
    <col min="4359" max="4359" width="13.109375" style="89" bestFit="1" customWidth="1"/>
    <col min="4360" max="4608" width="8" style="89"/>
    <col min="4609" max="4609" width="25" style="89" customWidth="1"/>
    <col min="4610" max="4610" width="10.109375" style="89" customWidth="1"/>
    <col min="4611" max="4611" width="12" style="89" customWidth="1"/>
    <col min="4612" max="4612" width="16.44140625" style="89" customWidth="1"/>
    <col min="4613" max="4613" width="22.33203125" style="89" customWidth="1"/>
    <col min="4614" max="4614" width="21.5546875" style="89" customWidth="1"/>
    <col min="4615" max="4615" width="13.109375" style="89" bestFit="1" customWidth="1"/>
    <col min="4616" max="4864" width="8" style="89"/>
    <col min="4865" max="4865" width="25" style="89" customWidth="1"/>
    <col min="4866" max="4866" width="10.109375" style="89" customWidth="1"/>
    <col min="4867" max="4867" width="12" style="89" customWidth="1"/>
    <col min="4868" max="4868" width="16.44140625" style="89" customWidth="1"/>
    <col min="4869" max="4869" width="22.33203125" style="89" customWidth="1"/>
    <col min="4870" max="4870" width="21.5546875" style="89" customWidth="1"/>
    <col min="4871" max="4871" width="13.109375" style="89" bestFit="1" customWidth="1"/>
    <col min="4872" max="5120" width="8" style="89"/>
    <col min="5121" max="5121" width="25" style="89" customWidth="1"/>
    <col min="5122" max="5122" width="10.109375" style="89" customWidth="1"/>
    <col min="5123" max="5123" width="12" style="89" customWidth="1"/>
    <col min="5124" max="5124" width="16.44140625" style="89" customWidth="1"/>
    <col min="5125" max="5125" width="22.33203125" style="89" customWidth="1"/>
    <col min="5126" max="5126" width="21.5546875" style="89" customWidth="1"/>
    <col min="5127" max="5127" width="13.109375" style="89" bestFit="1" customWidth="1"/>
    <col min="5128" max="5376" width="8" style="89"/>
    <col min="5377" max="5377" width="25" style="89" customWidth="1"/>
    <col min="5378" max="5378" width="10.109375" style="89" customWidth="1"/>
    <col min="5379" max="5379" width="12" style="89" customWidth="1"/>
    <col min="5380" max="5380" width="16.44140625" style="89" customWidth="1"/>
    <col min="5381" max="5381" width="22.33203125" style="89" customWidth="1"/>
    <col min="5382" max="5382" width="21.5546875" style="89" customWidth="1"/>
    <col min="5383" max="5383" width="13.109375" style="89" bestFit="1" customWidth="1"/>
    <col min="5384" max="5632" width="8" style="89"/>
    <col min="5633" max="5633" width="25" style="89" customWidth="1"/>
    <col min="5634" max="5634" width="10.109375" style="89" customWidth="1"/>
    <col min="5635" max="5635" width="12" style="89" customWidth="1"/>
    <col min="5636" max="5636" width="16.44140625" style="89" customWidth="1"/>
    <col min="5637" max="5637" width="22.33203125" style="89" customWidth="1"/>
    <col min="5638" max="5638" width="21.5546875" style="89" customWidth="1"/>
    <col min="5639" max="5639" width="13.109375" style="89" bestFit="1" customWidth="1"/>
    <col min="5640" max="5888" width="8" style="89"/>
    <col min="5889" max="5889" width="25" style="89" customWidth="1"/>
    <col min="5890" max="5890" width="10.109375" style="89" customWidth="1"/>
    <col min="5891" max="5891" width="12" style="89" customWidth="1"/>
    <col min="5892" max="5892" width="16.44140625" style="89" customWidth="1"/>
    <col min="5893" max="5893" width="22.33203125" style="89" customWidth="1"/>
    <col min="5894" max="5894" width="21.5546875" style="89" customWidth="1"/>
    <col min="5895" max="5895" width="13.109375" style="89" bestFit="1" customWidth="1"/>
    <col min="5896" max="6144" width="8" style="89"/>
    <col min="6145" max="6145" width="25" style="89" customWidth="1"/>
    <col min="6146" max="6146" width="10.109375" style="89" customWidth="1"/>
    <col min="6147" max="6147" width="12" style="89" customWidth="1"/>
    <col min="6148" max="6148" width="16.44140625" style="89" customWidth="1"/>
    <col min="6149" max="6149" width="22.33203125" style="89" customWidth="1"/>
    <col min="6150" max="6150" width="21.5546875" style="89" customWidth="1"/>
    <col min="6151" max="6151" width="13.109375" style="89" bestFit="1" customWidth="1"/>
    <col min="6152" max="6400" width="8" style="89"/>
    <col min="6401" max="6401" width="25" style="89" customWidth="1"/>
    <col min="6402" max="6402" width="10.109375" style="89" customWidth="1"/>
    <col min="6403" max="6403" width="12" style="89" customWidth="1"/>
    <col min="6404" max="6404" width="16.44140625" style="89" customWidth="1"/>
    <col min="6405" max="6405" width="22.33203125" style="89" customWidth="1"/>
    <col min="6406" max="6406" width="21.5546875" style="89" customWidth="1"/>
    <col min="6407" max="6407" width="13.109375" style="89" bestFit="1" customWidth="1"/>
    <col min="6408" max="6656" width="8" style="89"/>
    <col min="6657" max="6657" width="25" style="89" customWidth="1"/>
    <col min="6658" max="6658" width="10.109375" style="89" customWidth="1"/>
    <col min="6659" max="6659" width="12" style="89" customWidth="1"/>
    <col min="6660" max="6660" width="16.44140625" style="89" customWidth="1"/>
    <col min="6661" max="6661" width="22.33203125" style="89" customWidth="1"/>
    <col min="6662" max="6662" width="21.5546875" style="89" customWidth="1"/>
    <col min="6663" max="6663" width="13.109375" style="89" bestFit="1" customWidth="1"/>
    <col min="6664" max="6912" width="8" style="89"/>
    <col min="6913" max="6913" width="25" style="89" customWidth="1"/>
    <col min="6914" max="6914" width="10.109375" style="89" customWidth="1"/>
    <col min="6915" max="6915" width="12" style="89" customWidth="1"/>
    <col min="6916" max="6916" width="16.44140625" style="89" customWidth="1"/>
    <col min="6917" max="6917" width="22.33203125" style="89" customWidth="1"/>
    <col min="6918" max="6918" width="21.5546875" style="89" customWidth="1"/>
    <col min="6919" max="6919" width="13.109375" style="89" bestFit="1" customWidth="1"/>
    <col min="6920" max="7168" width="8" style="89"/>
    <col min="7169" max="7169" width="25" style="89" customWidth="1"/>
    <col min="7170" max="7170" width="10.109375" style="89" customWidth="1"/>
    <col min="7171" max="7171" width="12" style="89" customWidth="1"/>
    <col min="7172" max="7172" width="16.44140625" style="89" customWidth="1"/>
    <col min="7173" max="7173" width="22.33203125" style="89" customWidth="1"/>
    <col min="7174" max="7174" width="21.5546875" style="89" customWidth="1"/>
    <col min="7175" max="7175" width="13.109375" style="89" bestFit="1" customWidth="1"/>
    <col min="7176" max="7424" width="8" style="89"/>
    <col min="7425" max="7425" width="25" style="89" customWidth="1"/>
    <col min="7426" max="7426" width="10.109375" style="89" customWidth="1"/>
    <col min="7427" max="7427" width="12" style="89" customWidth="1"/>
    <col min="7428" max="7428" width="16.44140625" style="89" customWidth="1"/>
    <col min="7429" max="7429" width="22.33203125" style="89" customWidth="1"/>
    <col min="7430" max="7430" width="21.5546875" style="89" customWidth="1"/>
    <col min="7431" max="7431" width="13.109375" style="89" bestFit="1" customWidth="1"/>
    <col min="7432" max="7680" width="8" style="89"/>
    <col min="7681" max="7681" width="25" style="89" customWidth="1"/>
    <col min="7682" max="7682" width="10.109375" style="89" customWidth="1"/>
    <col min="7683" max="7683" width="12" style="89" customWidth="1"/>
    <col min="7684" max="7684" width="16.44140625" style="89" customWidth="1"/>
    <col min="7685" max="7685" width="22.33203125" style="89" customWidth="1"/>
    <col min="7686" max="7686" width="21.5546875" style="89" customWidth="1"/>
    <col min="7687" max="7687" width="13.109375" style="89" bestFit="1" customWidth="1"/>
    <col min="7688" max="7936" width="8" style="89"/>
    <col min="7937" max="7937" width="25" style="89" customWidth="1"/>
    <col min="7938" max="7938" width="10.109375" style="89" customWidth="1"/>
    <col min="7939" max="7939" width="12" style="89" customWidth="1"/>
    <col min="7940" max="7940" width="16.44140625" style="89" customWidth="1"/>
    <col min="7941" max="7941" width="22.33203125" style="89" customWidth="1"/>
    <col min="7942" max="7942" width="21.5546875" style="89" customWidth="1"/>
    <col min="7943" max="7943" width="13.109375" style="89" bestFit="1" customWidth="1"/>
    <col min="7944" max="8192" width="8" style="89"/>
    <col min="8193" max="8193" width="25" style="89" customWidth="1"/>
    <col min="8194" max="8194" width="10.109375" style="89" customWidth="1"/>
    <col min="8195" max="8195" width="12" style="89" customWidth="1"/>
    <col min="8196" max="8196" width="16.44140625" style="89" customWidth="1"/>
    <col min="8197" max="8197" width="22.33203125" style="89" customWidth="1"/>
    <col min="8198" max="8198" width="21.5546875" style="89" customWidth="1"/>
    <col min="8199" max="8199" width="13.109375" style="89" bestFit="1" customWidth="1"/>
    <col min="8200" max="8448" width="8" style="89"/>
    <col min="8449" max="8449" width="25" style="89" customWidth="1"/>
    <col min="8450" max="8450" width="10.109375" style="89" customWidth="1"/>
    <col min="8451" max="8451" width="12" style="89" customWidth="1"/>
    <col min="8452" max="8452" width="16.44140625" style="89" customWidth="1"/>
    <col min="8453" max="8453" width="22.33203125" style="89" customWidth="1"/>
    <col min="8454" max="8454" width="21.5546875" style="89" customWidth="1"/>
    <col min="8455" max="8455" width="13.109375" style="89" bestFit="1" customWidth="1"/>
    <col min="8456" max="8704" width="8" style="89"/>
    <col min="8705" max="8705" width="25" style="89" customWidth="1"/>
    <col min="8706" max="8706" width="10.109375" style="89" customWidth="1"/>
    <col min="8707" max="8707" width="12" style="89" customWidth="1"/>
    <col min="8708" max="8708" width="16.44140625" style="89" customWidth="1"/>
    <col min="8709" max="8709" width="22.33203125" style="89" customWidth="1"/>
    <col min="8710" max="8710" width="21.5546875" style="89" customWidth="1"/>
    <col min="8711" max="8711" width="13.109375" style="89" bestFit="1" customWidth="1"/>
    <col min="8712" max="8960" width="8" style="89"/>
    <col min="8961" max="8961" width="25" style="89" customWidth="1"/>
    <col min="8962" max="8962" width="10.109375" style="89" customWidth="1"/>
    <col min="8963" max="8963" width="12" style="89" customWidth="1"/>
    <col min="8964" max="8964" width="16.44140625" style="89" customWidth="1"/>
    <col min="8965" max="8965" width="22.33203125" style="89" customWidth="1"/>
    <col min="8966" max="8966" width="21.5546875" style="89" customWidth="1"/>
    <col min="8967" max="8967" width="13.109375" style="89" bestFit="1" customWidth="1"/>
    <col min="8968" max="9216" width="8" style="89"/>
    <col min="9217" max="9217" width="25" style="89" customWidth="1"/>
    <col min="9218" max="9218" width="10.109375" style="89" customWidth="1"/>
    <col min="9219" max="9219" width="12" style="89" customWidth="1"/>
    <col min="9220" max="9220" width="16.44140625" style="89" customWidth="1"/>
    <col min="9221" max="9221" width="22.33203125" style="89" customWidth="1"/>
    <col min="9222" max="9222" width="21.5546875" style="89" customWidth="1"/>
    <col min="9223" max="9223" width="13.109375" style="89" bestFit="1" customWidth="1"/>
    <col min="9224" max="9472" width="8" style="89"/>
    <col min="9473" max="9473" width="25" style="89" customWidth="1"/>
    <col min="9474" max="9474" width="10.109375" style="89" customWidth="1"/>
    <col min="9475" max="9475" width="12" style="89" customWidth="1"/>
    <col min="9476" max="9476" width="16.44140625" style="89" customWidth="1"/>
    <col min="9477" max="9477" width="22.33203125" style="89" customWidth="1"/>
    <col min="9478" max="9478" width="21.5546875" style="89" customWidth="1"/>
    <col min="9479" max="9479" width="13.109375" style="89" bestFit="1" customWidth="1"/>
    <col min="9480" max="9728" width="8" style="89"/>
    <col min="9729" max="9729" width="25" style="89" customWidth="1"/>
    <col min="9730" max="9730" width="10.109375" style="89" customWidth="1"/>
    <col min="9731" max="9731" width="12" style="89" customWidth="1"/>
    <col min="9732" max="9732" width="16.44140625" style="89" customWidth="1"/>
    <col min="9733" max="9733" width="22.33203125" style="89" customWidth="1"/>
    <col min="9734" max="9734" width="21.5546875" style="89" customWidth="1"/>
    <col min="9735" max="9735" width="13.109375" style="89" bestFit="1" customWidth="1"/>
    <col min="9736" max="9984" width="8" style="89"/>
    <col min="9985" max="9985" width="25" style="89" customWidth="1"/>
    <col min="9986" max="9986" width="10.109375" style="89" customWidth="1"/>
    <col min="9987" max="9987" width="12" style="89" customWidth="1"/>
    <col min="9988" max="9988" width="16.44140625" style="89" customWidth="1"/>
    <col min="9989" max="9989" width="22.33203125" style="89" customWidth="1"/>
    <col min="9990" max="9990" width="21.5546875" style="89" customWidth="1"/>
    <col min="9991" max="9991" width="13.109375" style="89" bestFit="1" customWidth="1"/>
    <col min="9992" max="10240" width="8" style="89"/>
    <col min="10241" max="10241" width="25" style="89" customWidth="1"/>
    <col min="10242" max="10242" width="10.109375" style="89" customWidth="1"/>
    <col min="10243" max="10243" width="12" style="89" customWidth="1"/>
    <col min="10244" max="10244" width="16.44140625" style="89" customWidth="1"/>
    <col min="10245" max="10245" width="22.33203125" style="89" customWidth="1"/>
    <col min="10246" max="10246" width="21.5546875" style="89" customWidth="1"/>
    <col min="10247" max="10247" width="13.109375" style="89" bestFit="1" customWidth="1"/>
    <col min="10248" max="10496" width="8" style="89"/>
    <col min="10497" max="10497" width="25" style="89" customWidth="1"/>
    <col min="10498" max="10498" width="10.109375" style="89" customWidth="1"/>
    <col min="10499" max="10499" width="12" style="89" customWidth="1"/>
    <col min="10500" max="10500" width="16.44140625" style="89" customWidth="1"/>
    <col min="10501" max="10501" width="22.33203125" style="89" customWidth="1"/>
    <col min="10502" max="10502" width="21.5546875" style="89" customWidth="1"/>
    <col min="10503" max="10503" width="13.109375" style="89" bestFit="1" customWidth="1"/>
    <col min="10504" max="10752" width="8" style="89"/>
    <col min="10753" max="10753" width="25" style="89" customWidth="1"/>
    <col min="10754" max="10754" width="10.109375" style="89" customWidth="1"/>
    <col min="10755" max="10755" width="12" style="89" customWidth="1"/>
    <col min="10756" max="10756" width="16.44140625" style="89" customWidth="1"/>
    <col min="10757" max="10757" width="22.33203125" style="89" customWidth="1"/>
    <col min="10758" max="10758" width="21.5546875" style="89" customWidth="1"/>
    <col min="10759" max="10759" width="13.109375" style="89" bestFit="1" customWidth="1"/>
    <col min="10760" max="11008" width="8" style="89"/>
    <col min="11009" max="11009" width="25" style="89" customWidth="1"/>
    <col min="11010" max="11010" width="10.109375" style="89" customWidth="1"/>
    <col min="11011" max="11011" width="12" style="89" customWidth="1"/>
    <col min="11012" max="11012" width="16.44140625" style="89" customWidth="1"/>
    <col min="11013" max="11013" width="22.33203125" style="89" customWidth="1"/>
    <col min="11014" max="11014" width="21.5546875" style="89" customWidth="1"/>
    <col min="11015" max="11015" width="13.109375" style="89" bestFit="1" customWidth="1"/>
    <col min="11016" max="11264" width="8" style="89"/>
    <col min="11265" max="11265" width="25" style="89" customWidth="1"/>
    <col min="11266" max="11266" width="10.109375" style="89" customWidth="1"/>
    <col min="11267" max="11267" width="12" style="89" customWidth="1"/>
    <col min="11268" max="11268" width="16.44140625" style="89" customWidth="1"/>
    <col min="11269" max="11269" width="22.33203125" style="89" customWidth="1"/>
    <col min="11270" max="11270" width="21.5546875" style="89" customWidth="1"/>
    <col min="11271" max="11271" width="13.109375" style="89" bestFit="1" customWidth="1"/>
    <col min="11272" max="11520" width="8" style="89"/>
    <col min="11521" max="11521" width="25" style="89" customWidth="1"/>
    <col min="11522" max="11522" width="10.109375" style="89" customWidth="1"/>
    <col min="11523" max="11523" width="12" style="89" customWidth="1"/>
    <col min="11524" max="11524" width="16.44140625" style="89" customWidth="1"/>
    <col min="11525" max="11525" width="22.33203125" style="89" customWidth="1"/>
    <col min="11526" max="11526" width="21.5546875" style="89" customWidth="1"/>
    <col min="11527" max="11527" width="13.109375" style="89" bestFit="1" customWidth="1"/>
    <col min="11528" max="11776" width="8" style="89"/>
    <col min="11777" max="11777" width="25" style="89" customWidth="1"/>
    <col min="11778" max="11778" width="10.109375" style="89" customWidth="1"/>
    <col min="11779" max="11779" width="12" style="89" customWidth="1"/>
    <col min="11780" max="11780" width="16.44140625" style="89" customWidth="1"/>
    <col min="11781" max="11781" width="22.33203125" style="89" customWidth="1"/>
    <col min="11782" max="11782" width="21.5546875" style="89" customWidth="1"/>
    <col min="11783" max="11783" width="13.109375" style="89" bestFit="1" customWidth="1"/>
    <col min="11784" max="12032" width="8" style="89"/>
    <col min="12033" max="12033" width="25" style="89" customWidth="1"/>
    <col min="12034" max="12034" width="10.109375" style="89" customWidth="1"/>
    <col min="12035" max="12035" width="12" style="89" customWidth="1"/>
    <col min="12036" max="12036" width="16.44140625" style="89" customWidth="1"/>
    <col min="12037" max="12037" width="22.33203125" style="89" customWidth="1"/>
    <col min="12038" max="12038" width="21.5546875" style="89" customWidth="1"/>
    <col min="12039" max="12039" width="13.109375" style="89" bestFit="1" customWidth="1"/>
    <col min="12040" max="12288" width="8" style="89"/>
    <col min="12289" max="12289" width="25" style="89" customWidth="1"/>
    <col min="12290" max="12290" width="10.109375" style="89" customWidth="1"/>
    <col min="12291" max="12291" width="12" style="89" customWidth="1"/>
    <col min="12292" max="12292" width="16.44140625" style="89" customWidth="1"/>
    <col min="12293" max="12293" width="22.33203125" style="89" customWidth="1"/>
    <col min="12294" max="12294" width="21.5546875" style="89" customWidth="1"/>
    <col min="12295" max="12295" width="13.109375" style="89" bestFit="1" customWidth="1"/>
    <col min="12296" max="12544" width="8" style="89"/>
    <col min="12545" max="12545" width="25" style="89" customWidth="1"/>
    <col min="12546" max="12546" width="10.109375" style="89" customWidth="1"/>
    <col min="12547" max="12547" width="12" style="89" customWidth="1"/>
    <col min="12548" max="12548" width="16.44140625" style="89" customWidth="1"/>
    <col min="12549" max="12549" width="22.33203125" style="89" customWidth="1"/>
    <col min="12550" max="12550" width="21.5546875" style="89" customWidth="1"/>
    <col min="12551" max="12551" width="13.109375" style="89" bestFit="1" customWidth="1"/>
    <col min="12552" max="12800" width="8" style="89"/>
    <col min="12801" max="12801" width="25" style="89" customWidth="1"/>
    <col min="12802" max="12802" width="10.109375" style="89" customWidth="1"/>
    <col min="12803" max="12803" width="12" style="89" customWidth="1"/>
    <col min="12804" max="12804" width="16.44140625" style="89" customWidth="1"/>
    <col min="12805" max="12805" width="22.33203125" style="89" customWidth="1"/>
    <col min="12806" max="12806" width="21.5546875" style="89" customWidth="1"/>
    <col min="12807" max="12807" width="13.109375" style="89" bestFit="1" customWidth="1"/>
    <col min="12808" max="13056" width="8" style="89"/>
    <col min="13057" max="13057" width="25" style="89" customWidth="1"/>
    <col min="13058" max="13058" width="10.109375" style="89" customWidth="1"/>
    <col min="13059" max="13059" width="12" style="89" customWidth="1"/>
    <col min="13060" max="13060" width="16.44140625" style="89" customWidth="1"/>
    <col min="13061" max="13061" width="22.33203125" style="89" customWidth="1"/>
    <col min="13062" max="13062" width="21.5546875" style="89" customWidth="1"/>
    <col min="13063" max="13063" width="13.109375" style="89" bestFit="1" customWidth="1"/>
    <col min="13064" max="13312" width="8" style="89"/>
    <col min="13313" max="13313" width="25" style="89" customWidth="1"/>
    <col min="13314" max="13314" width="10.109375" style="89" customWidth="1"/>
    <col min="13315" max="13315" width="12" style="89" customWidth="1"/>
    <col min="13316" max="13316" width="16.44140625" style="89" customWidth="1"/>
    <col min="13317" max="13317" width="22.33203125" style="89" customWidth="1"/>
    <col min="13318" max="13318" width="21.5546875" style="89" customWidth="1"/>
    <col min="13319" max="13319" width="13.109375" style="89" bestFit="1" customWidth="1"/>
    <col min="13320" max="13568" width="8" style="89"/>
    <col min="13569" max="13569" width="25" style="89" customWidth="1"/>
    <col min="13570" max="13570" width="10.109375" style="89" customWidth="1"/>
    <col min="13571" max="13571" width="12" style="89" customWidth="1"/>
    <col min="13572" max="13572" width="16.44140625" style="89" customWidth="1"/>
    <col min="13573" max="13573" width="22.33203125" style="89" customWidth="1"/>
    <col min="13574" max="13574" width="21.5546875" style="89" customWidth="1"/>
    <col min="13575" max="13575" width="13.109375" style="89" bestFit="1" customWidth="1"/>
    <col min="13576" max="13824" width="8" style="89"/>
    <col min="13825" max="13825" width="25" style="89" customWidth="1"/>
    <col min="13826" max="13826" width="10.109375" style="89" customWidth="1"/>
    <col min="13827" max="13827" width="12" style="89" customWidth="1"/>
    <col min="13828" max="13828" width="16.44140625" style="89" customWidth="1"/>
    <col min="13829" max="13829" width="22.33203125" style="89" customWidth="1"/>
    <col min="13830" max="13830" width="21.5546875" style="89" customWidth="1"/>
    <col min="13831" max="13831" width="13.109375" style="89" bestFit="1" customWidth="1"/>
    <col min="13832" max="14080" width="8" style="89"/>
    <col min="14081" max="14081" width="25" style="89" customWidth="1"/>
    <col min="14082" max="14082" width="10.109375" style="89" customWidth="1"/>
    <col min="14083" max="14083" width="12" style="89" customWidth="1"/>
    <col min="14084" max="14084" width="16.44140625" style="89" customWidth="1"/>
    <col min="14085" max="14085" width="22.33203125" style="89" customWidth="1"/>
    <col min="14086" max="14086" width="21.5546875" style="89" customWidth="1"/>
    <col min="14087" max="14087" width="13.109375" style="89" bestFit="1" customWidth="1"/>
    <col min="14088" max="14336" width="8" style="89"/>
    <col min="14337" max="14337" width="25" style="89" customWidth="1"/>
    <col min="14338" max="14338" width="10.109375" style="89" customWidth="1"/>
    <col min="14339" max="14339" width="12" style="89" customWidth="1"/>
    <col min="14340" max="14340" width="16.44140625" style="89" customWidth="1"/>
    <col min="14341" max="14341" width="22.33203125" style="89" customWidth="1"/>
    <col min="14342" max="14342" width="21.5546875" style="89" customWidth="1"/>
    <col min="14343" max="14343" width="13.109375" style="89" bestFit="1" customWidth="1"/>
    <col min="14344" max="14592" width="8" style="89"/>
    <col min="14593" max="14593" width="25" style="89" customWidth="1"/>
    <col min="14594" max="14594" width="10.109375" style="89" customWidth="1"/>
    <col min="14595" max="14595" width="12" style="89" customWidth="1"/>
    <col min="14596" max="14596" width="16.44140625" style="89" customWidth="1"/>
    <col min="14597" max="14597" width="22.33203125" style="89" customWidth="1"/>
    <col min="14598" max="14598" width="21.5546875" style="89" customWidth="1"/>
    <col min="14599" max="14599" width="13.109375" style="89" bestFit="1" customWidth="1"/>
    <col min="14600" max="14848" width="8" style="89"/>
    <col min="14849" max="14849" width="25" style="89" customWidth="1"/>
    <col min="14850" max="14850" width="10.109375" style="89" customWidth="1"/>
    <col min="14851" max="14851" width="12" style="89" customWidth="1"/>
    <col min="14852" max="14852" width="16.44140625" style="89" customWidth="1"/>
    <col min="14853" max="14853" width="22.33203125" style="89" customWidth="1"/>
    <col min="14854" max="14854" width="21.5546875" style="89" customWidth="1"/>
    <col min="14855" max="14855" width="13.109375" style="89" bestFit="1" customWidth="1"/>
    <col min="14856" max="15104" width="8" style="89"/>
    <col min="15105" max="15105" width="25" style="89" customWidth="1"/>
    <col min="15106" max="15106" width="10.109375" style="89" customWidth="1"/>
    <col min="15107" max="15107" width="12" style="89" customWidth="1"/>
    <col min="15108" max="15108" width="16.44140625" style="89" customWidth="1"/>
    <col min="15109" max="15109" width="22.33203125" style="89" customWidth="1"/>
    <col min="15110" max="15110" width="21.5546875" style="89" customWidth="1"/>
    <col min="15111" max="15111" width="13.109375" style="89" bestFit="1" customWidth="1"/>
    <col min="15112" max="15360" width="8" style="89"/>
    <col min="15361" max="15361" width="25" style="89" customWidth="1"/>
    <col min="15362" max="15362" width="10.109375" style="89" customWidth="1"/>
    <col min="15363" max="15363" width="12" style="89" customWidth="1"/>
    <col min="15364" max="15364" width="16.44140625" style="89" customWidth="1"/>
    <col min="15365" max="15365" width="22.33203125" style="89" customWidth="1"/>
    <col min="15366" max="15366" width="21.5546875" style="89" customWidth="1"/>
    <col min="15367" max="15367" width="13.109375" style="89" bestFit="1" customWidth="1"/>
    <col min="15368" max="15616" width="8" style="89"/>
    <col min="15617" max="15617" width="25" style="89" customWidth="1"/>
    <col min="15618" max="15618" width="10.109375" style="89" customWidth="1"/>
    <col min="15619" max="15619" width="12" style="89" customWidth="1"/>
    <col min="15620" max="15620" width="16.44140625" style="89" customWidth="1"/>
    <col min="15621" max="15621" width="22.33203125" style="89" customWidth="1"/>
    <col min="15622" max="15622" width="21.5546875" style="89" customWidth="1"/>
    <col min="15623" max="15623" width="13.109375" style="89" bestFit="1" customWidth="1"/>
    <col min="15624" max="15872" width="8" style="89"/>
    <col min="15873" max="15873" width="25" style="89" customWidth="1"/>
    <col min="15874" max="15874" width="10.109375" style="89" customWidth="1"/>
    <col min="15875" max="15875" width="12" style="89" customWidth="1"/>
    <col min="15876" max="15876" width="16.44140625" style="89" customWidth="1"/>
    <col min="15877" max="15877" width="22.33203125" style="89" customWidth="1"/>
    <col min="15878" max="15878" width="21.5546875" style="89" customWidth="1"/>
    <col min="15879" max="15879" width="13.109375" style="89" bestFit="1" customWidth="1"/>
    <col min="15880" max="16128" width="8" style="89"/>
    <col min="16129" max="16129" width="25" style="89" customWidth="1"/>
    <col min="16130" max="16130" width="10.109375" style="89" customWidth="1"/>
    <col min="16131" max="16131" width="12" style="89" customWidth="1"/>
    <col min="16132" max="16132" width="16.44140625" style="89" customWidth="1"/>
    <col min="16133" max="16133" width="22.33203125" style="89" customWidth="1"/>
    <col min="16134" max="16134" width="21.5546875" style="89" customWidth="1"/>
    <col min="16135" max="16135" width="13.109375" style="89" bestFit="1" customWidth="1"/>
    <col min="16136" max="16384" width="8" style="89"/>
  </cols>
  <sheetData>
    <row r="1" spans="1:18" ht="24" customHeight="1" x14ac:dyDescent="0.25">
      <c r="A1" s="605" t="s">
        <v>54</v>
      </c>
      <c r="B1" s="606"/>
      <c r="C1" s="606"/>
      <c r="D1" s="606"/>
      <c r="E1" s="607"/>
      <c r="F1" s="121"/>
      <c r="G1" s="121"/>
      <c r="H1" s="121"/>
      <c r="I1" s="121"/>
    </row>
    <row r="2" spans="1:18" ht="24" customHeight="1" x14ac:dyDescent="0.25">
      <c r="A2" s="608"/>
      <c r="B2" s="609"/>
      <c r="C2" s="609"/>
      <c r="D2" s="609"/>
      <c r="E2" s="610"/>
      <c r="F2" s="121"/>
      <c r="G2" s="121"/>
      <c r="H2" s="121"/>
      <c r="I2" s="121"/>
      <c r="J2" s="107"/>
    </row>
    <row r="3" spans="1:18" s="138" customFormat="1" ht="15" customHeight="1" x14ac:dyDescent="0.2">
      <c r="A3" s="578" t="str">
        <f>' ORÇAMENTO'!A3:D3</f>
        <v>PROPRIETÁRIO:</v>
      </c>
      <c r="B3" s="579"/>
      <c r="C3" s="580"/>
      <c r="D3" s="587" t="s">
        <v>56</v>
      </c>
      <c r="E3" s="601"/>
      <c r="F3" s="114"/>
      <c r="G3" s="114"/>
      <c r="H3" s="114"/>
      <c r="I3" s="114"/>
      <c r="J3" s="136"/>
      <c r="K3" s="137"/>
      <c r="L3" s="137"/>
      <c r="M3" s="137"/>
      <c r="N3" s="137"/>
      <c r="O3" s="137"/>
      <c r="P3" s="137"/>
      <c r="Q3" s="137"/>
      <c r="R3" s="137"/>
    </row>
    <row r="4" spans="1:18" s="138" customFormat="1" ht="15" customHeight="1" x14ac:dyDescent="0.2">
      <c r="A4" s="581" t="str">
        <f>' ORÇAMENTO'!A4:D4</f>
        <v>Prefeitura Municipal do Carpina</v>
      </c>
      <c r="B4" s="582"/>
      <c r="C4" s="583"/>
      <c r="D4" s="588"/>
      <c r="E4" s="602"/>
      <c r="F4" s="122"/>
      <c r="G4" s="122"/>
      <c r="H4" s="122"/>
      <c r="I4" s="122"/>
      <c r="J4" s="59"/>
      <c r="K4" s="137"/>
      <c r="L4" s="137"/>
      <c r="M4" s="137"/>
      <c r="N4" s="137"/>
      <c r="O4" s="137"/>
      <c r="P4" s="137"/>
      <c r="Q4" s="137"/>
      <c r="R4" s="137"/>
    </row>
    <row r="5" spans="1:18" s="138" customFormat="1" ht="15" customHeight="1" x14ac:dyDescent="0.2">
      <c r="A5" s="578" t="str">
        <f>' ORÇAMENTO'!A5:I5</f>
        <v>OBRA:</v>
      </c>
      <c r="B5" s="579"/>
      <c r="C5" s="579"/>
      <c r="D5" s="579"/>
      <c r="E5" s="601"/>
      <c r="F5" s="114"/>
      <c r="G5" s="114"/>
      <c r="H5" s="114"/>
      <c r="I5" s="114"/>
      <c r="J5" s="59"/>
      <c r="K5" s="137"/>
      <c r="L5" s="137"/>
      <c r="M5" s="137"/>
      <c r="N5" s="137"/>
      <c r="O5" s="137"/>
      <c r="P5" s="137"/>
      <c r="Q5" s="137"/>
      <c r="R5" s="137"/>
    </row>
    <row r="6" spans="1:18" s="138" customFormat="1" ht="15" customHeight="1" x14ac:dyDescent="0.2">
      <c r="A6" s="581" t="str">
        <f>' ORÇAMENTO'!A6:I6</f>
        <v>REVITALIZAÇÃO DO PÁTIO J. CÂNDIDO EM CARPINA</v>
      </c>
      <c r="B6" s="582"/>
      <c r="C6" s="582"/>
      <c r="D6" s="582"/>
      <c r="E6" s="602"/>
      <c r="F6" s="122"/>
      <c r="G6" s="122"/>
      <c r="H6" s="122"/>
      <c r="I6" s="122"/>
      <c r="J6" s="59"/>
      <c r="K6" s="137"/>
      <c r="L6" s="137"/>
      <c r="M6" s="137"/>
      <c r="N6" s="137"/>
      <c r="O6" s="137"/>
      <c r="P6" s="137"/>
      <c r="Q6" s="137"/>
      <c r="R6" s="137"/>
    </row>
    <row r="7" spans="1:18" s="138" customFormat="1" ht="15" customHeight="1" x14ac:dyDescent="0.2">
      <c r="A7" s="578" t="str">
        <f>' ORÇAMENTO'!A7:I7</f>
        <v>LOCALIZAÇÃO:</v>
      </c>
      <c r="B7" s="579"/>
      <c r="C7" s="579"/>
      <c r="D7" s="579"/>
      <c r="E7" s="601"/>
      <c r="F7" s="114"/>
      <c r="G7" s="114"/>
      <c r="H7" s="114"/>
      <c r="I7" s="114"/>
      <c r="J7" s="59"/>
      <c r="K7" s="137"/>
      <c r="L7" s="137"/>
      <c r="M7" s="137"/>
      <c r="N7" s="137"/>
      <c r="O7" s="137"/>
      <c r="P7" s="137"/>
      <c r="Q7" s="137"/>
      <c r="R7" s="137"/>
    </row>
    <row r="8" spans="1:18" s="138" customFormat="1" ht="15" customHeight="1" x14ac:dyDescent="0.2">
      <c r="A8" s="603" t="str">
        <f>' ORÇAMENTO'!A8:I8</f>
        <v>AV. SEVERIANO JOSÉ FREIRE, CARPINA - PE</v>
      </c>
      <c r="B8" s="604"/>
      <c r="C8" s="604"/>
      <c r="D8" s="582"/>
      <c r="E8" s="602"/>
      <c r="F8" s="122"/>
      <c r="G8" s="122"/>
      <c r="H8" s="122"/>
      <c r="I8" s="122"/>
      <c r="J8" s="59"/>
      <c r="K8" s="137"/>
      <c r="L8" s="137"/>
      <c r="M8" s="137"/>
      <c r="N8" s="137"/>
      <c r="O8" s="137"/>
      <c r="P8" s="137"/>
      <c r="Q8" s="137"/>
      <c r="R8" s="137"/>
    </row>
    <row r="9" spans="1:18" s="138" customFormat="1" ht="15" customHeight="1" x14ac:dyDescent="0.2">
      <c r="A9" s="578" t="str">
        <f>' ORÇAMENTO'!A9:D9</f>
        <v xml:space="preserve">CONCEDENTE: </v>
      </c>
      <c r="B9" s="579"/>
      <c r="C9" s="580"/>
      <c r="D9" s="119" t="s">
        <v>60</v>
      </c>
      <c r="E9" s="147" t="s">
        <v>61</v>
      </c>
      <c r="F9" s="114"/>
      <c r="G9" s="114"/>
      <c r="H9" s="585"/>
      <c r="I9" s="585"/>
      <c r="J9" s="59"/>
      <c r="K9" s="137"/>
      <c r="L9" s="137"/>
      <c r="M9" s="137"/>
      <c r="N9" s="137"/>
      <c r="O9" s="137"/>
      <c r="P9" s="137"/>
      <c r="Q9" s="137"/>
      <c r="R9" s="137"/>
    </row>
    <row r="10" spans="1:18" s="138" customFormat="1" ht="15" customHeight="1" x14ac:dyDescent="0.2">
      <c r="A10" s="575" t="str">
        <f>' ORÇAMENTO'!A10:D10</f>
        <v>MINISTÉRIO DO TURISMO</v>
      </c>
      <c r="B10" s="576"/>
      <c r="C10" s="577"/>
      <c r="D10" s="385">
        <v>243750</v>
      </c>
      <c r="E10" s="148" t="s">
        <v>146</v>
      </c>
      <c r="F10" s="123"/>
      <c r="G10" s="123"/>
      <c r="H10" s="615"/>
      <c r="I10" s="615"/>
      <c r="J10" s="139"/>
      <c r="K10" s="139"/>
      <c r="L10" s="139"/>
      <c r="M10" s="139"/>
      <c r="N10" s="137"/>
      <c r="O10" s="137"/>
      <c r="P10" s="137"/>
      <c r="Q10" s="137"/>
      <c r="R10" s="137"/>
    </row>
    <row r="11" spans="1:18" s="138" customFormat="1" ht="15" customHeight="1" x14ac:dyDescent="0.2">
      <c r="A11" s="578" t="str">
        <f>' ORÇAMENTO'!A11:D11</f>
        <v>TABELA DE PREÇOS:</v>
      </c>
      <c r="B11" s="579"/>
      <c r="C11" s="580"/>
      <c r="D11" s="118" t="s">
        <v>63</v>
      </c>
      <c r="E11" s="147" t="s">
        <v>64</v>
      </c>
      <c r="F11" s="114"/>
      <c r="G11" s="386">
        <f>' ORÇAMENTO'!I45</f>
        <v>197779.6789617115</v>
      </c>
      <c r="H11" s="585">
        <v>100</v>
      </c>
      <c r="I11" s="585"/>
      <c r="J11" s="139"/>
      <c r="K11" s="139"/>
      <c r="L11" s="139"/>
      <c r="M11" s="139"/>
      <c r="N11" s="137"/>
      <c r="O11" s="137"/>
      <c r="P11" s="137"/>
      <c r="Q11" s="137"/>
      <c r="R11" s="137"/>
    </row>
    <row r="12" spans="1:18" s="138" customFormat="1" ht="15" customHeight="1" x14ac:dyDescent="0.2">
      <c r="A12" s="581" t="str">
        <f>' ORÇAMENTO'!A12:D12</f>
        <v>SINAPI DESONERADA (FEV/17) E ORSE (JAN/17)</v>
      </c>
      <c r="B12" s="582"/>
      <c r="C12" s="583"/>
      <c r="D12" s="383">
        <f>'BDI SERVIÇO'!D24</f>
        <v>0.25215503759149449</v>
      </c>
      <c r="E12" s="149">
        <f>' ORÇAMENTO'!H12</f>
        <v>42826</v>
      </c>
      <c r="F12" s="124"/>
      <c r="G12" s="386">
        <v>194000</v>
      </c>
      <c r="H12" s="125" t="s">
        <v>148</v>
      </c>
      <c r="I12" s="125"/>
      <c r="J12" s="59"/>
      <c r="K12" s="137"/>
      <c r="L12" s="137"/>
      <c r="M12" s="137"/>
      <c r="N12" s="137"/>
      <c r="O12" s="137"/>
      <c r="P12" s="137"/>
      <c r="Q12" s="137"/>
      <c r="R12" s="137"/>
    </row>
    <row r="13" spans="1:18" s="138" customFormat="1" ht="15" customHeight="1" x14ac:dyDescent="0.2">
      <c r="A13" s="578" t="str">
        <f>' ORÇAMENTO'!A13:D13</f>
        <v>RESPONSÁVEL TÉCNICO:</v>
      </c>
      <c r="B13" s="579"/>
      <c r="C13" s="580"/>
      <c r="D13" s="119" t="s">
        <v>66</v>
      </c>
      <c r="E13" s="147" t="s">
        <v>67</v>
      </c>
      <c r="F13" s="114"/>
      <c r="G13" s="386">
        <f>(G12*H11)/G11</f>
        <v>98.088944738127921</v>
      </c>
      <c r="H13" s="585"/>
      <c r="I13" s="585"/>
      <c r="J13" s="59"/>
      <c r="K13" s="137"/>
      <c r="L13" s="137"/>
      <c r="M13" s="137"/>
      <c r="N13" s="137"/>
      <c r="O13" s="137"/>
      <c r="P13" s="137"/>
      <c r="Q13" s="137"/>
      <c r="R13" s="137"/>
    </row>
    <row r="14" spans="1:18" s="138" customFormat="1" ht="15" customHeight="1" x14ac:dyDescent="0.2">
      <c r="A14" s="581" t="str">
        <f>' ORÇAMENTO'!A14:D14</f>
        <v>Leonardo Menezes de Sá</v>
      </c>
      <c r="B14" s="582"/>
      <c r="C14" s="583"/>
      <c r="D14" s="120" t="s">
        <v>70</v>
      </c>
      <c r="E14" s="148"/>
      <c r="F14" s="122"/>
      <c r="G14" s="122"/>
      <c r="H14" s="617"/>
      <c r="I14" s="618"/>
      <c r="J14" s="59"/>
      <c r="K14" s="137"/>
      <c r="L14" s="137"/>
      <c r="M14" s="137"/>
      <c r="N14" s="137"/>
      <c r="O14" s="137"/>
      <c r="P14" s="137"/>
      <c r="Q14" s="137"/>
      <c r="R14" s="137"/>
    </row>
    <row r="15" spans="1:18" s="138" customFormat="1" ht="15" customHeight="1" x14ac:dyDescent="0.2">
      <c r="A15" s="573"/>
      <c r="B15" s="574"/>
      <c r="C15" s="574"/>
      <c r="D15" s="574"/>
      <c r="E15" s="616"/>
      <c r="F15" s="140">
        <f>G13%</f>
        <v>0.98088944738127926</v>
      </c>
      <c r="G15" s="141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</row>
    <row r="16" spans="1:18" ht="13.2" x14ac:dyDescent="0.25">
      <c r="A16" s="150" t="s">
        <v>1</v>
      </c>
      <c r="B16" s="84" t="s">
        <v>41</v>
      </c>
      <c r="C16" s="84" t="s">
        <v>42</v>
      </c>
      <c r="D16" s="85" t="s">
        <v>43</v>
      </c>
      <c r="E16" s="151" t="s">
        <v>44</v>
      </c>
      <c r="F16" s="108"/>
    </row>
    <row r="17" spans="1:18" ht="4.5" customHeight="1" x14ac:dyDescent="0.25">
      <c r="A17" s="611"/>
      <c r="B17" s="612"/>
      <c r="C17" s="612"/>
      <c r="D17" s="612"/>
      <c r="E17" s="613"/>
      <c r="F17" s="108"/>
    </row>
    <row r="18" spans="1:18" s="83" customFormat="1" ht="13.2" x14ac:dyDescent="0.25">
      <c r="A18" s="152" t="str">
        <f>' ORÇAMENTO'!D20</f>
        <v>SERVIÇOS PRELIMINARES</v>
      </c>
      <c r="B18" s="86"/>
      <c r="C18" s="87"/>
      <c r="D18" s="88"/>
      <c r="E18" s="153"/>
      <c r="F18" s="128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</row>
    <row r="19" spans="1:18" s="83" customFormat="1" ht="13.2" x14ac:dyDescent="0.25">
      <c r="A19" s="154" t="s">
        <v>45</v>
      </c>
      <c r="B19" s="86" t="s">
        <v>46</v>
      </c>
      <c r="C19" s="87">
        <v>1</v>
      </c>
      <c r="D19" s="88">
        <f>E19/$E$33</f>
        <v>4.9411478146805299E-2</v>
      </c>
      <c r="E19" s="153">
        <f>F19*$F$15</f>
        <v>9772.5862848987745</v>
      </c>
      <c r="F19" s="128">
        <f>' ORÇAMENTO'!I20</f>
        <v>9962.9844229531154</v>
      </c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  <row r="20" spans="1:18" s="83" customFormat="1" ht="13.2" x14ac:dyDescent="0.25">
      <c r="A20" s="154" t="s">
        <v>47</v>
      </c>
      <c r="B20" s="86" t="s">
        <v>46</v>
      </c>
      <c r="C20" s="87">
        <v>1</v>
      </c>
      <c r="D20" s="88">
        <f>E20/$E$33</f>
        <v>9.6267796092034557E-4</v>
      </c>
      <c r="E20" s="153">
        <f>F19-E19</f>
        <v>190.39813805434096</v>
      </c>
      <c r="F20" s="128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</row>
    <row r="21" spans="1:18" s="83" customFormat="1" ht="13.2" x14ac:dyDescent="0.25">
      <c r="A21" s="152" t="str">
        <f>' ORÇAMENTO'!D25</f>
        <v>PISO DO PÁTIO DE EVENTOS</v>
      </c>
      <c r="B21" s="86"/>
      <c r="C21" s="87"/>
      <c r="D21" s="88"/>
      <c r="E21" s="153"/>
      <c r="F21" s="129"/>
      <c r="G21" s="127"/>
      <c r="H21" s="614"/>
      <c r="I21" s="614"/>
      <c r="J21" s="614"/>
      <c r="K21" s="614"/>
      <c r="L21" s="614"/>
      <c r="M21" s="127"/>
      <c r="N21" s="127"/>
      <c r="O21" s="127"/>
      <c r="P21" s="127"/>
      <c r="Q21" s="127"/>
      <c r="R21" s="127"/>
    </row>
    <row r="22" spans="1:18" s="83" customFormat="1" ht="13.2" x14ac:dyDescent="0.25">
      <c r="A22" s="154" t="s">
        <v>45</v>
      </c>
      <c r="B22" s="86" t="s">
        <v>46</v>
      </c>
      <c r="C22" s="87">
        <v>1</v>
      </c>
      <c r="D22" s="88">
        <f>E22/$E$33</f>
        <v>0.56643599103473175</v>
      </c>
      <c r="E22" s="153">
        <f>F22*$F$15</f>
        <v>112029.52845920812</v>
      </c>
      <c r="F22" s="129">
        <f>' ORÇAMENTO'!I25</f>
        <v>114212.18645821702</v>
      </c>
      <c r="G22" s="127"/>
      <c r="H22" s="614"/>
      <c r="I22" s="614"/>
      <c r="J22" s="614"/>
      <c r="K22" s="614"/>
      <c r="L22" s="614"/>
      <c r="M22" s="127"/>
      <c r="N22" s="127"/>
      <c r="O22" s="127"/>
      <c r="P22" s="127"/>
      <c r="Q22" s="127"/>
      <c r="R22" s="127"/>
    </row>
    <row r="23" spans="1:18" s="83" customFormat="1" ht="13.2" x14ac:dyDescent="0.25">
      <c r="A23" s="154" t="s">
        <v>47</v>
      </c>
      <c r="B23" s="86" t="s">
        <v>46</v>
      </c>
      <c r="C23" s="87">
        <v>1</v>
      </c>
      <c r="D23" s="88">
        <f>E23/$E$33</f>
        <v>1.1035805146753491E-2</v>
      </c>
      <c r="E23" s="153">
        <f>F22-E22</f>
        <v>2182.6579990089085</v>
      </c>
      <c r="F23" s="129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</row>
    <row r="24" spans="1:18" s="83" customFormat="1" ht="13.2" x14ac:dyDescent="0.25">
      <c r="A24" s="152" t="str">
        <f>' ORÇAMENTO'!D33</f>
        <v>CALÇADA</v>
      </c>
      <c r="B24" s="86"/>
      <c r="C24" s="87"/>
      <c r="D24" s="88"/>
      <c r="E24" s="153"/>
      <c r="F24" s="129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</row>
    <row r="25" spans="1:18" s="83" customFormat="1" ht="13.2" x14ac:dyDescent="0.25">
      <c r="A25" s="154" t="s">
        <v>45</v>
      </c>
      <c r="B25" s="86" t="s">
        <v>46</v>
      </c>
      <c r="C25" s="87">
        <v>1</v>
      </c>
      <c r="D25" s="88">
        <f>E25/$E$33</f>
        <v>0.25880647542470608</v>
      </c>
      <c r="E25" s="153">
        <f>F25*$F$15</f>
        <v>51186.661622710439</v>
      </c>
      <c r="F25" s="129">
        <f>' ORÇAMENTO'!I33</f>
        <v>52183.925272481589</v>
      </c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</row>
    <row r="26" spans="1:18" s="83" customFormat="1" ht="13.2" x14ac:dyDescent="0.25">
      <c r="A26" s="154" t="s">
        <v>47</v>
      </c>
      <c r="B26" s="86" t="s">
        <v>46</v>
      </c>
      <c r="C26" s="87">
        <v>1</v>
      </c>
      <c r="D26" s="88">
        <f>E26/$E$33</f>
        <v>5.0422958263786656E-3</v>
      </c>
      <c r="E26" s="153">
        <f>F25-E25</f>
        <v>997.26364977115009</v>
      </c>
      <c r="F26" s="129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</row>
    <row r="27" spans="1:18" s="83" customFormat="1" ht="13.2" x14ac:dyDescent="0.25">
      <c r="A27" s="152" t="str">
        <f>' ORÇAMENTO'!D41</f>
        <v>PINTURA</v>
      </c>
      <c r="B27" s="86"/>
      <c r="C27" s="87"/>
      <c r="D27" s="88"/>
      <c r="E27" s="153"/>
      <c r="F27" s="129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</row>
    <row r="28" spans="1:18" s="83" customFormat="1" ht="13.2" x14ac:dyDescent="0.25">
      <c r="A28" s="154" t="s">
        <v>45</v>
      </c>
      <c r="B28" s="86" t="s">
        <v>46</v>
      </c>
      <c r="C28" s="87">
        <v>1</v>
      </c>
      <c r="D28" s="88">
        <f>E28/$E$33</f>
        <v>0.10623550277503613</v>
      </c>
      <c r="E28" s="153">
        <f>F28*$F$15</f>
        <v>21011.223633182653</v>
      </c>
      <c r="F28" s="129">
        <f>' ORÇAMENTO'!I41</f>
        <v>21420.582808059746</v>
      </c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</row>
    <row r="29" spans="1:18" s="83" customFormat="1" ht="13.2" x14ac:dyDescent="0.25">
      <c r="A29" s="154" t="s">
        <v>47</v>
      </c>
      <c r="B29" s="86" t="s">
        <v>46</v>
      </c>
      <c r="C29" s="87">
        <v>1</v>
      </c>
      <c r="D29" s="88">
        <f>E29/$E$33</f>
        <v>2.0697736846682865E-3</v>
      </c>
      <c r="E29" s="153">
        <f>F28-E28</f>
        <v>409.3591748770923</v>
      </c>
      <c r="F29" s="129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</row>
    <row r="30" spans="1:18" ht="13.2" x14ac:dyDescent="0.25">
      <c r="A30" s="155"/>
      <c r="B30" s="90"/>
      <c r="C30" s="91"/>
      <c r="D30" s="92"/>
      <c r="E30" s="156"/>
      <c r="G30" s="131"/>
    </row>
    <row r="31" spans="1:18" ht="12.75" customHeight="1" x14ac:dyDescent="0.25">
      <c r="A31" s="157" t="s">
        <v>48</v>
      </c>
      <c r="B31" s="93"/>
      <c r="C31" s="93"/>
      <c r="D31" s="94"/>
      <c r="E31" s="158">
        <f>E19+E22+E25+E28</f>
        <v>193999.99999999997</v>
      </c>
      <c r="G31" s="131"/>
    </row>
    <row r="32" spans="1:18" ht="12.75" customHeight="1" x14ac:dyDescent="0.25">
      <c r="A32" s="157" t="s">
        <v>49</v>
      </c>
      <c r="B32" s="93"/>
      <c r="C32" s="93"/>
      <c r="D32" s="94"/>
      <c r="E32" s="158">
        <f>E20+E23+E26+E29</f>
        <v>3779.6789617114919</v>
      </c>
      <c r="F32" s="443">
        <f>E32/E33</f>
        <v>1.9110552618720789E-2</v>
      </c>
    </row>
    <row r="33" spans="1:18" ht="12.75" customHeight="1" x14ac:dyDescent="0.25">
      <c r="A33" s="159" t="s">
        <v>50</v>
      </c>
      <c r="B33" s="93"/>
      <c r="C33" s="93"/>
      <c r="D33" s="94"/>
      <c r="E33" s="160">
        <f>E31+E32</f>
        <v>197779.67896171147</v>
      </c>
    </row>
    <row r="34" spans="1:18" ht="12.75" customHeight="1" thickBot="1" x14ac:dyDescent="0.3">
      <c r="A34" s="165"/>
      <c r="B34" s="166"/>
      <c r="C34" s="166"/>
      <c r="D34" s="167"/>
      <c r="E34" s="401"/>
    </row>
    <row r="35" spans="1:18" s="83" customFormat="1" ht="12.75" customHeight="1" x14ac:dyDescent="0.25">
      <c r="A35" s="161"/>
      <c r="B35" s="127"/>
      <c r="C35" s="127"/>
      <c r="D35" s="162"/>
      <c r="E35" s="163"/>
      <c r="F35" s="130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</row>
    <row r="36" spans="1:18" ht="12.75" customHeight="1" x14ac:dyDescent="0.25">
      <c r="A36" s="161"/>
      <c r="B36" s="127"/>
      <c r="C36" s="127"/>
      <c r="D36" s="162"/>
      <c r="E36" s="163"/>
    </row>
    <row r="37" spans="1:18" s="95" customFormat="1" ht="12.75" customHeight="1" x14ac:dyDescent="0.25">
      <c r="A37" s="161"/>
      <c r="B37" s="127"/>
      <c r="C37" s="127"/>
      <c r="D37" s="162"/>
      <c r="E37" s="164"/>
      <c r="F37" s="130"/>
      <c r="G37" s="127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</row>
    <row r="38" spans="1:18" s="95" customFormat="1" ht="12.75" customHeight="1" thickBot="1" x14ac:dyDescent="0.3">
      <c r="A38" s="165"/>
      <c r="B38" s="166"/>
      <c r="C38" s="166"/>
      <c r="D38" s="167"/>
      <c r="E38" s="168"/>
      <c r="F38" s="130"/>
      <c r="G38" s="127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</row>
  </sheetData>
  <mergeCells count="23">
    <mergeCell ref="A1:E2"/>
    <mergeCell ref="A17:E17"/>
    <mergeCell ref="H21:L22"/>
    <mergeCell ref="A12:C12"/>
    <mergeCell ref="A13:C13"/>
    <mergeCell ref="H9:I9"/>
    <mergeCell ref="H10:I10"/>
    <mergeCell ref="H11:I11"/>
    <mergeCell ref="A11:C11"/>
    <mergeCell ref="A14:C14"/>
    <mergeCell ref="A15:E15"/>
    <mergeCell ref="H14:I14"/>
    <mergeCell ref="A3:C3"/>
    <mergeCell ref="A4:C4"/>
    <mergeCell ref="D3:E3"/>
    <mergeCell ref="D4:E4"/>
    <mergeCell ref="A10:C10"/>
    <mergeCell ref="H13:I13"/>
    <mergeCell ref="A5:E5"/>
    <mergeCell ref="A6:E6"/>
    <mergeCell ref="A7:E7"/>
    <mergeCell ref="A8:E8"/>
    <mergeCell ref="A9:C9"/>
  </mergeCells>
  <printOptions horizontalCentered="1"/>
  <pageMargins left="0.25" right="0.25" top="0.75" bottom="0.75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="90" zoomScaleNormal="100" zoomScaleSheetLayoutView="90" workbookViewId="0">
      <selection activeCell="I24" sqref="I24"/>
    </sheetView>
  </sheetViews>
  <sheetFormatPr defaultColWidth="9.109375" defaultRowHeight="13.2" x14ac:dyDescent="0.25"/>
  <cols>
    <col min="1" max="1" width="21.44140625" style="296" customWidth="1"/>
    <col min="2" max="2" width="12.88671875" style="296" customWidth="1"/>
    <col min="3" max="3" width="3.33203125" style="296" customWidth="1"/>
    <col min="4" max="4" width="12.88671875" style="296" customWidth="1"/>
    <col min="5" max="5" width="2.5546875" style="296" bestFit="1" customWidth="1"/>
    <col min="6" max="6" width="2" style="296" bestFit="1" customWidth="1"/>
    <col min="7" max="7" width="12.5546875" style="296" customWidth="1"/>
    <col min="8" max="8" width="2.5546875" style="296" bestFit="1" customWidth="1"/>
    <col min="9" max="9" width="5" style="296" customWidth="1"/>
    <col min="10" max="10" width="11" style="296" customWidth="1"/>
    <col min="11" max="11" width="2.33203125" style="296" customWidth="1"/>
    <col min="12" max="12" width="11.88671875" style="296" bestFit="1" customWidth="1"/>
    <col min="13" max="13" width="4.33203125" style="296" customWidth="1"/>
    <col min="14" max="14" width="9.109375" style="294"/>
    <col min="15" max="16" width="9.109375" style="295"/>
    <col min="17" max="16384" width="9.109375" style="296"/>
  </cols>
  <sheetData>
    <row r="1" spans="1:16" ht="37.5" customHeight="1" x14ac:dyDescent="0.25">
      <c r="A1" s="626" t="s">
        <v>111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8"/>
    </row>
    <row r="2" spans="1:16" ht="28.5" customHeight="1" x14ac:dyDescent="0.25">
      <c r="A2" s="629" t="s">
        <v>112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1"/>
    </row>
    <row r="3" spans="1:16" ht="16.8" x14ac:dyDescent="0.3">
      <c r="A3" s="402"/>
      <c r="B3" s="297"/>
      <c r="C3" s="297"/>
      <c r="D3" s="297"/>
      <c r="E3" s="297"/>
      <c r="F3" s="297"/>
      <c r="G3" s="297"/>
      <c r="H3" s="297"/>
      <c r="I3" s="297"/>
      <c r="J3" s="298"/>
      <c r="K3" s="299"/>
      <c r="L3" s="299"/>
      <c r="M3" s="403"/>
    </row>
    <row r="4" spans="1:16" ht="15.75" customHeight="1" x14ac:dyDescent="0.25">
      <c r="A4" s="404" t="s">
        <v>113</v>
      </c>
      <c r="B4" s="632" t="s">
        <v>43</v>
      </c>
      <c r="C4" s="634" t="s">
        <v>114</v>
      </c>
      <c r="D4" s="636" t="s">
        <v>115</v>
      </c>
      <c r="E4" s="637"/>
      <c r="F4" s="637"/>
      <c r="G4" s="637"/>
      <c r="H4" s="637"/>
      <c r="I4" s="638"/>
      <c r="J4" s="636" t="s">
        <v>116</v>
      </c>
      <c r="K4" s="637"/>
      <c r="L4" s="642"/>
      <c r="M4" s="646" t="s">
        <v>114</v>
      </c>
    </row>
    <row r="5" spans="1:16" ht="15.75" customHeight="1" x14ac:dyDescent="0.25">
      <c r="A5" s="405" t="s">
        <v>16</v>
      </c>
      <c r="B5" s="633"/>
      <c r="C5" s="635"/>
      <c r="D5" s="639"/>
      <c r="E5" s="640"/>
      <c r="F5" s="640"/>
      <c r="G5" s="640"/>
      <c r="H5" s="640"/>
      <c r="I5" s="641"/>
      <c r="J5" s="643"/>
      <c r="K5" s="644"/>
      <c r="L5" s="645"/>
      <c r="M5" s="647"/>
    </row>
    <row r="6" spans="1:16" s="307" customFormat="1" ht="18.75" customHeight="1" x14ac:dyDescent="0.3">
      <c r="A6" s="406" t="s">
        <v>117</v>
      </c>
      <c r="B6" s="300">
        <v>3</v>
      </c>
      <c r="C6" s="311" t="s">
        <v>114</v>
      </c>
      <c r="D6" s="301" t="s">
        <v>118</v>
      </c>
      <c r="E6" s="302"/>
      <c r="F6" s="302"/>
      <c r="G6" s="302"/>
      <c r="H6" s="302"/>
      <c r="I6" s="303"/>
      <c r="J6" s="622" t="s">
        <v>53</v>
      </c>
      <c r="K6" s="623"/>
      <c r="L6" s="304">
        <v>0.65</v>
      </c>
      <c r="M6" s="407" t="s">
        <v>114</v>
      </c>
      <c r="N6" s="305"/>
      <c r="O6" s="306">
        <v>0.03</v>
      </c>
      <c r="P6" s="306">
        <v>5.5E-2</v>
      </c>
    </row>
    <row r="7" spans="1:16" s="307" customFormat="1" ht="18.75" customHeight="1" x14ac:dyDescent="0.3">
      <c r="A7" s="406" t="s">
        <v>119</v>
      </c>
      <c r="B7" s="300">
        <v>6.16</v>
      </c>
      <c r="C7" s="311" t="s">
        <v>114</v>
      </c>
      <c r="D7" s="308" t="s">
        <v>118</v>
      </c>
      <c r="E7" s="309"/>
      <c r="F7" s="309"/>
      <c r="G7" s="309"/>
      <c r="H7" s="309"/>
      <c r="I7" s="310"/>
      <c r="J7" s="624" t="s">
        <v>51</v>
      </c>
      <c r="K7" s="625"/>
      <c r="L7" s="304">
        <v>3</v>
      </c>
      <c r="M7" s="407" t="s">
        <v>114</v>
      </c>
      <c r="N7" s="305"/>
      <c r="O7" s="306">
        <v>6.1600000000000002E-2</v>
      </c>
      <c r="P7" s="306">
        <v>8.9599999999999999E-2</v>
      </c>
    </row>
    <row r="8" spans="1:16" s="307" customFormat="1" ht="18.75" customHeight="1" x14ac:dyDescent="0.3">
      <c r="A8" s="406" t="s">
        <v>116</v>
      </c>
      <c r="B8" s="300">
        <f>SUM(L6:L9)</f>
        <v>10.65</v>
      </c>
      <c r="C8" s="311" t="s">
        <v>114</v>
      </c>
      <c r="D8" s="308" t="s">
        <v>120</v>
      </c>
      <c r="E8" s="309"/>
      <c r="F8" s="309"/>
      <c r="G8" s="309"/>
      <c r="H8" s="309"/>
      <c r="I8" s="310"/>
      <c r="J8" s="624" t="s">
        <v>52</v>
      </c>
      <c r="K8" s="625"/>
      <c r="L8" s="304">
        <v>2.5</v>
      </c>
      <c r="M8" s="407" t="s">
        <v>114</v>
      </c>
      <c r="N8" s="305"/>
      <c r="O8" s="306"/>
      <c r="P8" s="306"/>
    </row>
    <row r="9" spans="1:16" s="307" customFormat="1" ht="18.75" customHeight="1" x14ac:dyDescent="0.3">
      <c r="A9" s="406" t="s">
        <v>121</v>
      </c>
      <c r="B9" s="300">
        <v>0.97</v>
      </c>
      <c r="C9" s="311" t="s">
        <v>114</v>
      </c>
      <c r="D9" s="308" t="s">
        <v>118</v>
      </c>
      <c r="E9" s="309"/>
      <c r="F9" s="309"/>
      <c r="G9" s="309"/>
      <c r="H9" s="309"/>
      <c r="I9" s="310"/>
      <c r="J9" s="624" t="s">
        <v>122</v>
      </c>
      <c r="K9" s="625"/>
      <c r="L9" s="304">
        <v>4.5</v>
      </c>
      <c r="M9" s="407" t="s">
        <v>114</v>
      </c>
      <c r="N9" s="305"/>
      <c r="O9" s="306">
        <v>9.7000000000000003E-3</v>
      </c>
      <c r="P9" s="306">
        <v>1.2699999999999999E-2</v>
      </c>
    </row>
    <row r="10" spans="1:16" s="307" customFormat="1" ht="18.75" customHeight="1" x14ac:dyDescent="0.3">
      <c r="A10" s="406" t="s">
        <v>123</v>
      </c>
      <c r="B10" s="300">
        <v>0.59</v>
      </c>
      <c r="C10" s="311" t="s">
        <v>114</v>
      </c>
      <c r="D10" s="308" t="s">
        <v>118</v>
      </c>
      <c r="E10" s="309"/>
      <c r="F10" s="309"/>
      <c r="G10" s="309"/>
      <c r="H10" s="309"/>
      <c r="I10" s="310"/>
      <c r="J10" s="624"/>
      <c r="K10" s="625"/>
      <c r="L10" s="304"/>
      <c r="M10" s="407" t="s">
        <v>114</v>
      </c>
      <c r="N10" s="305"/>
      <c r="O10" s="306">
        <v>5.8999999999999999E-3</v>
      </c>
      <c r="P10" s="306">
        <v>1.3899999999999999E-2</v>
      </c>
    </row>
    <row r="11" spans="1:16" s="307" customFormat="1" ht="18.75" customHeight="1" x14ac:dyDescent="0.3">
      <c r="A11" s="406" t="s">
        <v>124</v>
      </c>
      <c r="B11" s="300">
        <v>0.8</v>
      </c>
      <c r="C11" s="311" t="s">
        <v>114</v>
      </c>
      <c r="D11" s="308" t="s">
        <v>118</v>
      </c>
      <c r="E11" s="309"/>
      <c r="F11" s="309"/>
      <c r="G11" s="309"/>
      <c r="H11" s="309"/>
      <c r="I11" s="310"/>
      <c r="J11" s="624"/>
      <c r="K11" s="625"/>
      <c r="L11" s="304"/>
      <c r="M11" s="407" t="s">
        <v>114</v>
      </c>
      <c r="N11" s="305"/>
      <c r="O11" s="306">
        <v>8.0000000000000002E-3</v>
      </c>
      <c r="P11" s="306">
        <v>0.01</v>
      </c>
    </row>
    <row r="12" spans="1:16" ht="15.6" x14ac:dyDescent="0.3">
      <c r="A12" s="408"/>
      <c r="B12" s="312">
        <f>SUM(D24)</f>
        <v>0.25215503759149449</v>
      </c>
      <c r="C12" s="313"/>
      <c r="D12" s="314"/>
      <c r="E12" s="314"/>
      <c r="F12" s="314"/>
      <c r="G12" s="297"/>
      <c r="H12" s="314"/>
      <c r="I12" s="315"/>
      <c r="J12" s="314"/>
      <c r="K12" s="315"/>
      <c r="L12" s="316"/>
      <c r="M12" s="409" t="s">
        <v>114</v>
      </c>
    </row>
    <row r="13" spans="1:16" ht="15.6" x14ac:dyDescent="0.3">
      <c r="A13" s="619" t="s">
        <v>125</v>
      </c>
      <c r="B13" s="317"/>
      <c r="C13" s="318"/>
      <c r="D13" s="319"/>
      <c r="E13" s="319"/>
      <c r="F13" s="319"/>
      <c r="G13" s="319"/>
      <c r="H13" s="319"/>
      <c r="I13" s="320"/>
      <c r="J13" s="319"/>
      <c r="K13" s="319"/>
      <c r="L13" s="319"/>
      <c r="M13" s="410"/>
    </row>
    <row r="14" spans="1:16" ht="17.399999999999999" x14ac:dyDescent="0.3">
      <c r="A14" s="620"/>
      <c r="B14" s="321"/>
      <c r="C14" s="322"/>
      <c r="D14" s="297"/>
      <c r="E14" s="323"/>
      <c r="F14" s="297"/>
      <c r="G14" s="324"/>
      <c r="H14" s="323"/>
      <c r="I14" s="297"/>
      <c r="J14" s="297"/>
      <c r="K14" s="323"/>
      <c r="L14" s="297"/>
      <c r="M14" s="411"/>
    </row>
    <row r="15" spans="1:16" ht="17.399999999999999" x14ac:dyDescent="0.3">
      <c r="A15" s="412"/>
      <c r="B15" s="325"/>
      <c r="C15" s="326"/>
      <c r="D15" s="325"/>
      <c r="E15" s="326"/>
      <c r="F15" s="327"/>
      <c r="G15" s="325"/>
      <c r="H15" s="326"/>
      <c r="I15" s="327"/>
      <c r="J15" s="325"/>
      <c r="K15" s="326"/>
      <c r="L15" s="325"/>
      <c r="M15" s="413"/>
    </row>
    <row r="16" spans="1:16" ht="17.399999999999999" x14ac:dyDescent="0.3">
      <c r="A16" s="414"/>
      <c r="B16" s="328" t="s">
        <v>126</v>
      </c>
      <c r="C16" s="329" t="s">
        <v>127</v>
      </c>
      <c r="D16" s="330">
        <f>1+B6/100+B11/100+B9/100</f>
        <v>1.0477000000000001</v>
      </c>
      <c r="E16" s="331" t="s">
        <v>128</v>
      </c>
      <c r="F16" s="331" t="s">
        <v>129</v>
      </c>
      <c r="G16" s="330">
        <f>1+B10/100</f>
        <v>1.0059</v>
      </c>
      <c r="H16" s="331" t="s">
        <v>128</v>
      </c>
      <c r="I16" s="331" t="s">
        <v>129</v>
      </c>
      <c r="J16" s="330">
        <f>1+B7/100</f>
        <v>1.0616000000000001</v>
      </c>
      <c r="K16" s="332" t="s">
        <v>130</v>
      </c>
      <c r="L16" s="333">
        <v>-1</v>
      </c>
      <c r="M16" s="415"/>
    </row>
    <row r="17" spans="1:16" ht="17.399999999999999" x14ac:dyDescent="0.3">
      <c r="A17" s="414"/>
      <c r="B17" s="334"/>
      <c r="C17" s="335"/>
      <c r="D17" s="336" t="s">
        <v>131</v>
      </c>
      <c r="E17" s="337" t="s">
        <v>132</v>
      </c>
      <c r="F17" s="337"/>
      <c r="G17" s="338">
        <f>B8/100</f>
        <v>0.1065</v>
      </c>
      <c r="H17" s="337" t="s">
        <v>128</v>
      </c>
      <c r="I17" s="337"/>
      <c r="J17" s="338"/>
      <c r="K17" s="337"/>
      <c r="L17" s="339"/>
      <c r="M17" s="416"/>
    </row>
    <row r="18" spans="1:16" ht="17.399999999999999" x14ac:dyDescent="0.3">
      <c r="A18" s="417"/>
      <c r="B18" s="340"/>
      <c r="C18" s="341"/>
      <c r="D18" s="342"/>
      <c r="E18" s="341"/>
      <c r="F18" s="341"/>
      <c r="G18" s="343"/>
      <c r="H18" s="344"/>
      <c r="I18" s="341"/>
      <c r="J18" s="341"/>
      <c r="K18" s="341"/>
      <c r="L18" s="343"/>
      <c r="M18" s="418"/>
    </row>
    <row r="19" spans="1:16" ht="17.399999999999999" x14ac:dyDescent="0.3">
      <c r="A19" s="414"/>
      <c r="B19" s="345" t="s">
        <v>16</v>
      </c>
      <c r="C19" s="346" t="s">
        <v>133</v>
      </c>
      <c r="D19" s="330">
        <f>D16*G16*J16</f>
        <v>1.1188005260880003</v>
      </c>
      <c r="E19" s="347" t="s">
        <v>132</v>
      </c>
      <c r="F19" s="347"/>
      <c r="G19" s="348">
        <v>1</v>
      </c>
      <c r="H19" s="344"/>
      <c r="I19" s="349" t="s">
        <v>134</v>
      </c>
      <c r="J19" s="350"/>
      <c r="K19" s="341"/>
      <c r="L19" s="341"/>
      <c r="M19" s="418"/>
    </row>
    <row r="20" spans="1:16" ht="17.399999999999999" x14ac:dyDescent="0.25">
      <c r="A20" s="419"/>
      <c r="B20" s="351"/>
      <c r="C20" s="352"/>
      <c r="D20" s="338">
        <f>1-G17</f>
        <v>0.89349999999999996</v>
      </c>
      <c r="E20" s="353"/>
      <c r="F20" s="353"/>
      <c r="G20" s="354"/>
      <c r="H20" s="355"/>
      <c r="I20" s="356" t="s">
        <v>135</v>
      </c>
      <c r="J20" s="357"/>
      <c r="K20" s="357"/>
      <c r="L20" s="357"/>
      <c r="M20" s="420"/>
    </row>
    <row r="21" spans="1:16" ht="17.399999999999999" x14ac:dyDescent="0.3">
      <c r="A21" s="419"/>
      <c r="B21" s="358"/>
      <c r="C21" s="341"/>
      <c r="D21" s="359"/>
      <c r="E21" s="360"/>
      <c r="F21" s="360"/>
      <c r="G21" s="361"/>
      <c r="H21" s="355"/>
      <c r="I21" s="356" t="s">
        <v>136</v>
      </c>
      <c r="J21" s="357"/>
      <c r="K21" s="357"/>
      <c r="L21" s="357"/>
      <c r="M21" s="420"/>
    </row>
    <row r="22" spans="1:16" ht="17.399999999999999" x14ac:dyDescent="0.3">
      <c r="A22" s="419"/>
      <c r="B22" s="362" t="s">
        <v>16</v>
      </c>
      <c r="C22" s="363" t="s">
        <v>133</v>
      </c>
      <c r="D22" s="364">
        <f>D19/D20</f>
        <v>1.2521550375914945</v>
      </c>
      <c r="E22" s="365" t="s">
        <v>132</v>
      </c>
      <c r="F22" s="366"/>
      <c r="G22" s="367">
        <v>1</v>
      </c>
      <c r="H22" s="355"/>
      <c r="I22" s="356" t="s">
        <v>137</v>
      </c>
      <c r="J22" s="357"/>
      <c r="K22" s="357"/>
      <c r="L22" s="357"/>
      <c r="M22" s="420"/>
    </row>
    <row r="23" spans="1:16" ht="18" thickBot="1" x14ac:dyDescent="0.35">
      <c r="A23" s="419"/>
      <c r="B23" s="368"/>
      <c r="C23" s="341"/>
      <c r="D23" s="369"/>
      <c r="E23" s="360"/>
      <c r="F23" s="360"/>
      <c r="G23" s="361"/>
      <c r="H23" s="355"/>
      <c r="I23" s="356" t="s">
        <v>138</v>
      </c>
      <c r="J23" s="357"/>
      <c r="K23" s="357"/>
      <c r="L23" s="357"/>
      <c r="M23" s="420"/>
      <c r="O23" s="295">
        <v>0.2034</v>
      </c>
      <c r="P23" s="295">
        <v>0.25</v>
      </c>
    </row>
    <row r="24" spans="1:16" ht="18" thickBot="1" x14ac:dyDescent="0.3">
      <c r="A24" s="419"/>
      <c r="B24" s="379" t="s">
        <v>139</v>
      </c>
      <c r="C24" s="380" t="s">
        <v>133</v>
      </c>
      <c r="D24" s="381">
        <f>(D22-G22)</f>
        <v>0.25215503759149449</v>
      </c>
      <c r="E24" s="370"/>
      <c r="F24" s="360"/>
      <c r="G24" s="361"/>
      <c r="H24" s="355"/>
      <c r="I24" s="356" t="s">
        <v>140</v>
      </c>
      <c r="J24" s="357"/>
      <c r="K24" s="357"/>
      <c r="L24" s="357"/>
      <c r="M24" s="420"/>
    </row>
    <row r="25" spans="1:16" ht="18" thickBot="1" x14ac:dyDescent="0.3">
      <c r="A25" s="421"/>
      <c r="B25" s="422"/>
      <c r="C25" s="423"/>
      <c r="D25" s="424"/>
      <c r="E25" s="425"/>
      <c r="F25" s="426"/>
      <c r="G25" s="427"/>
      <c r="H25" s="428"/>
      <c r="I25" s="429" t="s">
        <v>141</v>
      </c>
      <c r="J25" s="430"/>
      <c r="K25" s="430"/>
      <c r="L25" s="430"/>
      <c r="M25" s="431"/>
      <c r="N25" s="621"/>
      <c r="O25" s="621"/>
      <c r="P25" s="621"/>
    </row>
    <row r="26" spans="1:16" ht="15.75" hidden="1" customHeight="1" x14ac:dyDescent="0.25">
      <c r="A26" s="371" t="s">
        <v>142</v>
      </c>
      <c r="B26" s="372" t="s">
        <v>143</v>
      </c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</row>
    <row r="27" spans="1:16" ht="17.399999999999999" hidden="1" x14ac:dyDescent="0.3">
      <c r="A27" s="374"/>
      <c r="B27" s="372" t="s">
        <v>144</v>
      </c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</row>
    <row r="28" spans="1:16" ht="18" hidden="1" thickBot="1" x14ac:dyDescent="0.35">
      <c r="A28" s="375"/>
      <c r="B28" s="376" t="s">
        <v>145</v>
      </c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</row>
    <row r="33" spans="1:1" x14ac:dyDescent="0.25">
      <c r="A33" s="378"/>
    </row>
  </sheetData>
  <mergeCells count="15">
    <mergeCell ref="A1:M1"/>
    <mergeCell ref="A2:M2"/>
    <mergeCell ref="B4:B5"/>
    <mergeCell ref="C4:C5"/>
    <mergeCell ref="D4:I5"/>
    <mergeCell ref="J4:L5"/>
    <mergeCell ref="M4:M5"/>
    <mergeCell ref="A13:A14"/>
    <mergeCell ref="N25:P25"/>
    <mergeCell ref="J6:K6"/>
    <mergeCell ref="J7:K7"/>
    <mergeCell ref="J8:K8"/>
    <mergeCell ref="J9:K9"/>
    <mergeCell ref="J10:K10"/>
    <mergeCell ref="J11:K11"/>
  </mergeCells>
  <printOptions horizontalCentered="1"/>
  <pageMargins left="0.39370078740157483" right="0.19685039370078741" top="1.1811023622047245" bottom="0.19685039370078741" header="0" footer="0.51181102362204722"/>
  <pageSetup paperSize="9" scale="80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10</vt:i4>
      </vt:variant>
    </vt:vector>
  </HeadingPairs>
  <TitlesOfParts>
    <vt:vector size="16" baseType="lpstr">
      <vt:lpstr> ORÇAMENTO</vt:lpstr>
      <vt:lpstr>COMPOSIÇÃO</vt:lpstr>
      <vt:lpstr>MEMÓRIA E ORÇAMENTO</vt:lpstr>
      <vt:lpstr>CFF</vt:lpstr>
      <vt:lpstr>QCI  </vt:lpstr>
      <vt:lpstr>BDI SERVIÇO</vt:lpstr>
      <vt:lpstr>' ORÇAMENTO'!Area_de_impressao</vt:lpstr>
      <vt:lpstr>'BDI SERVIÇO'!Area_de_impressao</vt:lpstr>
      <vt:lpstr>CFF!Area_de_impressao</vt:lpstr>
      <vt:lpstr>COMPOSIÇÃO!Area_de_impressao</vt:lpstr>
      <vt:lpstr>'MEMÓRIA E ORÇAMENTO'!Area_de_impressao</vt:lpstr>
      <vt:lpstr>'QCI  '!Area_de_impressao</vt:lpstr>
      <vt:lpstr>' ORÇAMENTO'!Titulos_de_impressao</vt:lpstr>
      <vt:lpstr>CFF!Titulos_de_impressao</vt:lpstr>
      <vt:lpstr>'MEMÓRIA E ORÇAMENTO'!Titulos_de_impressao</vt:lpstr>
      <vt:lpstr>'QCI  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2017-07-07T01:02:54Z</dcterms:modified>
</cp:coreProperties>
</file>